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C:\Users\nsantiago\Downloads\Uploaded to Drupal\CODES\Quick links updates\"/>
    </mc:Choice>
  </mc:AlternateContent>
  <xr:revisionPtr revIDLastSave="0" documentId="8_{D4B0DABB-FF78-4BEA-94FF-E82A90B8B5FB}" xr6:coauthVersionLast="45" xr6:coauthVersionMax="45" xr10:uidLastSave="{00000000-0000-0000-0000-000000000000}"/>
  <workbookProtection workbookAlgorithmName="SHA-512" workbookHashValue="OoynlNL5IskZo4qoF7RCto0bWxFi29pBKQ2SKBbTdYnKLGqwtsLxUmMuVvhWeMQ0R0TUv/3edcdarC7xSxz0vA==" workbookSaltValue="cOJlA6LuYXXjqepDqQ0m4g==" workbookSpinCount="100000" lockStructure="1"/>
  <bookViews>
    <workbookView xWindow="390" yWindow="390" windowWidth="21600" windowHeight="11385" xr2:uid="{00000000-000D-0000-FFFF-FFFF00000000}"/>
  </bookViews>
  <sheets>
    <sheet name="Input" sheetId="2" r:id="rId1"/>
    <sheet name="Detailed Analysis" sheetId="3" r:id="rId2"/>
  </sheets>
  <definedNames>
    <definedName name="Categories">'Detailed Analysis'!$L$26:$L$31</definedName>
    <definedName name="Categories1">'Detailed Analysis'!$L$26:$L$28</definedName>
    <definedName name="Categories2">'Detailed Analysis'!$L$26:$L$29</definedName>
    <definedName name="Categories3">'Detailed Analysis'!$L$26:$L$30</definedName>
    <definedName name="Categories4">'Detailed Analysis'!$L$26:$L$31</definedName>
    <definedName name="ConstructionType">'Detailed Analysis'!$M$7:$M$15</definedName>
    <definedName name="IncidentalUseNCEBC1401.6.19">'Detailed Analysis'!$O$21:$O$27</definedName>
    <definedName name="IncidentalUseT509NCBC">'Detailed Analysis'!$O$7:$O$13</definedName>
    <definedName name="IncProtectionProv">'Detailed Analysis'!$O$21:$O$27</definedName>
    <definedName name="IncProtectionReqd">'Detailed Analysis'!$O$7:$O$13</definedName>
    <definedName name="IPP">#REF!</definedName>
    <definedName name="IPR">#REF!</definedName>
    <definedName name="No">'Detailed Analysis'!$L$16</definedName>
    <definedName name="Occupancies">'Detailed Analysis'!$N$7:$N$22</definedName>
    <definedName name="_xlnm.Print_Area" localSheetId="1">'Detailed Analysis'!$A$1:$I$59,'Detailed Analysis'!$A$61:$I$120,'Detailed Analysis'!$A$122:$I$177,'Detailed Analysis'!$A$179:$I$228,'Detailed Analysis'!$A$230:$I$285,'Detailed Analysis'!$A$288:$I$337</definedName>
    <definedName name="Sprinkler_System">'Detailed Analysis'!$L$16:$L$18</definedName>
    <definedName name="SprinklerSystem">'Detailed Analysis'!$L$16:$L$18</definedName>
    <definedName name="TypeofProtection">#REF!</definedName>
    <definedName name="VOProtection">'Detailed Analysis'!$M$26:$M$29</definedName>
    <definedName name="Yes">'Detailed Analysis'!$N$30:$N$32</definedName>
    <definedName name="YesNo">'Detailed Analysis'!$L$7:$L$8</definedName>
  </definedNames>
  <calcPr calcId="191029"/>
  <customWorkbookViews>
    <customWorkbookView name="Helen DiPietro - Personal View" guid="{7EDFBFC4-878A-41F6-83F0-E826CB53041F}" mergeInterval="0" personalView="1" maximized="1" windowWidth="1276" windowHeight="71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2" i="3" l="1"/>
  <c r="L41" i="3" l="1"/>
  <c r="H129" i="3" l="1"/>
  <c r="H128" i="3"/>
  <c r="G128" i="3"/>
  <c r="G129" i="3"/>
  <c r="F129" i="3"/>
  <c r="F128" i="3"/>
  <c r="D128" i="3" l="1"/>
  <c r="E128" i="3"/>
  <c r="E129" i="3"/>
  <c r="D129" i="3"/>
  <c r="B14" i="3" l="1"/>
  <c r="B13" i="3" l="1"/>
  <c r="C40" i="3" l="1"/>
  <c r="C41" i="3" l="1"/>
  <c r="C283" i="3" l="1"/>
  <c r="D283" i="3" s="1"/>
  <c r="C274" i="3"/>
  <c r="D274" i="3" s="1"/>
  <c r="B265" i="3"/>
  <c r="C265" i="3" s="1"/>
  <c r="C254" i="3"/>
  <c r="D254" i="3" s="1"/>
  <c r="I234" i="3"/>
  <c r="G234" i="3"/>
  <c r="F234" i="3"/>
  <c r="E234" i="3"/>
  <c r="B241" i="3"/>
  <c r="B240" i="3"/>
  <c r="B239" i="3"/>
  <c r="B237" i="3"/>
  <c r="B236" i="3"/>
  <c r="B235" i="3"/>
  <c r="C106" i="3"/>
  <c r="D133" i="3" s="1"/>
  <c r="C71" i="3"/>
  <c r="D71" i="3" s="1"/>
  <c r="D115" i="3"/>
  <c r="D114" i="3"/>
  <c r="C243" i="3"/>
  <c r="C200" i="3"/>
  <c r="C198" i="3"/>
  <c r="D198" i="3" s="1"/>
  <c r="C199" i="3"/>
  <c r="B156" i="3"/>
  <c r="B155" i="3"/>
  <c r="C244" i="3"/>
  <c r="B238" i="3"/>
  <c r="H234" i="3"/>
  <c r="D234" i="3"/>
  <c r="C234" i="3"/>
  <c r="E244" i="3" s="1"/>
  <c r="C226" i="3"/>
  <c r="D226" i="3" s="1"/>
  <c r="C213" i="3"/>
  <c r="D213" i="3" s="1"/>
  <c r="C186" i="3"/>
  <c r="D186" i="3" s="1"/>
  <c r="B184" i="3"/>
  <c r="B183" i="3"/>
  <c r="C175" i="3"/>
  <c r="D175" i="3" s="1"/>
  <c r="B173" i="3"/>
  <c r="B172" i="3"/>
  <c r="D163" i="3"/>
  <c r="B83" i="3"/>
  <c r="B82" i="3"/>
  <c r="B81" i="3"/>
  <c r="B80" i="3"/>
  <c r="C77" i="3"/>
  <c r="C93" i="3"/>
  <c r="C146" i="3"/>
  <c r="D146" i="3" s="1"/>
  <c r="C132" i="3"/>
  <c r="D132" i="3" s="1"/>
  <c r="C118" i="3"/>
  <c r="D118" i="3" s="1"/>
  <c r="C57" i="3"/>
  <c r="D57" i="3" s="1"/>
  <c r="B28" i="3"/>
  <c r="B21" i="3"/>
  <c r="B23" i="3" s="1"/>
  <c r="B20" i="3"/>
  <c r="C141" i="3"/>
  <c r="B8" i="3"/>
  <c r="B7" i="3"/>
  <c r="B6" i="3"/>
  <c r="B37" i="3" l="1"/>
  <c r="J164" i="3"/>
  <c r="C85" i="3"/>
  <c r="D51" i="2" s="1"/>
  <c r="D106" i="3"/>
  <c r="N37" i="3"/>
  <c r="O163" i="3"/>
  <c r="P163" i="3"/>
  <c r="D27" i="2"/>
  <c r="D41" i="3"/>
  <c r="W24" i="3"/>
  <c r="B11" i="3" s="1"/>
  <c r="T2" i="3"/>
  <c r="B152" i="3"/>
  <c r="I188" i="3"/>
  <c r="H305" i="3" s="1"/>
  <c r="C80" i="3"/>
  <c r="C86" i="3" s="1"/>
  <c r="D50" i="2" s="1"/>
  <c r="C81" i="3"/>
  <c r="I246" i="3"/>
  <c r="P17" i="2" s="1"/>
  <c r="B157" i="3"/>
  <c r="I177" i="3"/>
  <c r="D304" i="3" s="1"/>
  <c r="B141" i="3"/>
  <c r="B101" i="3"/>
  <c r="B144" i="3"/>
  <c r="B130" i="3"/>
  <c r="B208" i="3"/>
  <c r="B327" i="3"/>
  <c r="B195" i="3"/>
  <c r="B66" i="3"/>
  <c r="B263" i="3"/>
  <c r="B35" i="3"/>
  <c r="B103" i="3"/>
  <c r="B143" i="3"/>
  <c r="B222" i="3"/>
  <c r="B319" i="3"/>
  <c r="I95" i="3"/>
  <c r="B196" i="3"/>
  <c r="B36" i="3"/>
  <c r="B115" i="3"/>
  <c r="C143" i="3"/>
  <c r="B221" i="3"/>
  <c r="B321" i="3"/>
  <c r="B69" i="3"/>
  <c r="B38" i="3"/>
  <c r="B51" i="3"/>
  <c r="B128" i="3"/>
  <c r="C142" i="3"/>
  <c r="B223" i="3"/>
  <c r="B323" i="3"/>
  <c r="B54" i="3"/>
  <c r="B251" i="3"/>
  <c r="B211" i="3"/>
  <c r="B272" i="3"/>
  <c r="I276" i="3" s="1"/>
  <c r="P29" i="2" s="1"/>
  <c r="B50" i="3"/>
  <c r="B53" i="3"/>
  <c r="B127" i="3"/>
  <c r="C144" i="3"/>
  <c r="B320" i="3"/>
  <c r="B326" i="3"/>
  <c r="H164" i="3"/>
  <c r="B116" i="3"/>
  <c r="B252" i="3"/>
  <c r="B52" i="3"/>
  <c r="B65" i="3"/>
  <c r="B129" i="3"/>
  <c r="B322" i="3"/>
  <c r="B328" i="3"/>
  <c r="B104" i="3"/>
  <c r="B224" i="3"/>
  <c r="B281" i="3"/>
  <c r="I285" i="3" s="1"/>
  <c r="P32" i="2" s="1"/>
  <c r="B55" i="3"/>
  <c r="B67" i="3"/>
  <c r="B142" i="3"/>
  <c r="B209" i="3"/>
  <c r="B324" i="3"/>
  <c r="B194" i="3"/>
  <c r="B24" i="3"/>
  <c r="D26" i="2" s="1"/>
  <c r="I267" i="3"/>
  <c r="B325" i="3"/>
  <c r="B68" i="3"/>
  <c r="B102" i="3"/>
  <c r="B126" i="3"/>
  <c r="B210" i="3"/>
  <c r="B329" i="3"/>
  <c r="B153" i="3"/>
  <c r="B114" i="3"/>
  <c r="I135" i="3" l="1"/>
  <c r="F300" i="3" s="1"/>
  <c r="I120" i="3"/>
  <c r="F299" i="3" s="1"/>
  <c r="I202" i="3"/>
  <c r="H306" i="3" s="1"/>
  <c r="B12" i="3"/>
  <c r="D12" i="2" s="1"/>
  <c r="B9" i="3"/>
  <c r="B15" i="3" s="1"/>
  <c r="D14" i="2" s="1"/>
  <c r="P164" i="3"/>
  <c r="O164" i="3"/>
  <c r="C87" i="3"/>
  <c r="C42" i="3"/>
  <c r="I44" i="3" s="1"/>
  <c r="H293" i="3" s="1"/>
  <c r="B25" i="3"/>
  <c r="B26" i="3" s="1"/>
  <c r="B154" i="3"/>
  <c r="C154" i="3" s="1"/>
  <c r="J45" i="2"/>
  <c r="D309" i="3"/>
  <c r="F305" i="3"/>
  <c r="F309" i="3"/>
  <c r="H309" i="3"/>
  <c r="J40" i="2"/>
  <c r="H304" i="3"/>
  <c r="F304" i="3"/>
  <c r="I148" i="3"/>
  <c r="F301" i="3" s="1"/>
  <c r="I215" i="3"/>
  <c r="P5" i="2" s="1"/>
  <c r="I108" i="3"/>
  <c r="J9" i="2" s="1"/>
  <c r="I73" i="3"/>
  <c r="F313" i="3"/>
  <c r="F312" i="3"/>
  <c r="F311" i="3"/>
  <c r="H311" i="3"/>
  <c r="H313" i="3"/>
  <c r="H312" i="3"/>
  <c r="P26" i="2"/>
  <c r="I228" i="3"/>
  <c r="I256" i="3"/>
  <c r="H297" i="3"/>
  <c r="D297" i="3"/>
  <c r="F297" i="3"/>
  <c r="J5" i="2"/>
  <c r="I59" i="3"/>
  <c r="H330" i="3"/>
  <c r="D330" i="3"/>
  <c r="F330" i="3"/>
  <c r="H299" i="3" l="1"/>
  <c r="J13" i="2"/>
  <c r="D24" i="2"/>
  <c r="D299" i="3"/>
  <c r="D306" i="3"/>
  <c r="J53" i="2"/>
  <c r="B10" i="3"/>
  <c r="D10" i="2" s="1"/>
  <c r="D9" i="2"/>
  <c r="P37" i="3"/>
  <c r="D164" i="3"/>
  <c r="J31" i="2" s="1"/>
  <c r="D52" i="2"/>
  <c r="I89" i="3"/>
  <c r="F293" i="3"/>
  <c r="D293" i="3"/>
  <c r="D36" i="2"/>
  <c r="D37" i="2"/>
  <c r="I159" i="3"/>
  <c r="J26" i="2" s="1"/>
  <c r="J21" i="2"/>
  <c r="H301" i="3"/>
  <c r="J17" i="2"/>
  <c r="H300" i="3"/>
  <c r="F298" i="3"/>
  <c r="H307" i="3"/>
  <c r="D307" i="3"/>
  <c r="H298" i="3"/>
  <c r="F307" i="3"/>
  <c r="D298" i="3"/>
  <c r="P38" i="2"/>
  <c r="D335" i="3"/>
  <c r="D334" i="3"/>
  <c r="P37" i="2"/>
  <c r="F295" i="3"/>
  <c r="H295" i="3"/>
  <c r="D45" i="2"/>
  <c r="D295" i="3"/>
  <c r="P39" i="2"/>
  <c r="D336" i="3"/>
  <c r="D308" i="3"/>
  <c r="F308" i="3"/>
  <c r="P9" i="2"/>
  <c r="H308" i="3"/>
  <c r="D294" i="3"/>
  <c r="D41" i="2"/>
  <c r="H294" i="3"/>
  <c r="F294" i="3"/>
  <c r="P21" i="2"/>
  <c r="H310" i="3"/>
  <c r="F310" i="3"/>
  <c r="D310" i="3"/>
  <c r="G7" i="3"/>
  <c r="D17" i="2" s="1"/>
  <c r="L37" i="3" l="1"/>
  <c r="F20" i="3"/>
  <c r="I29" i="3" s="1"/>
  <c r="B27" i="3"/>
  <c r="G6" i="3"/>
  <c r="D16" i="2" s="1"/>
  <c r="D28" i="2"/>
  <c r="I166" i="3"/>
  <c r="J32" i="2" s="1"/>
  <c r="D53" i="2"/>
  <c r="D296" i="3"/>
  <c r="H296" i="3"/>
  <c r="F296" i="3"/>
  <c r="H302" i="3"/>
  <c r="F302" i="3"/>
  <c r="D30" i="2" l="1"/>
  <c r="I16" i="3"/>
  <c r="F291" i="3" s="1"/>
  <c r="F303" i="3"/>
  <c r="H303" i="3"/>
  <c r="F292" i="3"/>
  <c r="H291" i="3" l="1"/>
  <c r="D291" i="3"/>
  <c r="D18" i="2"/>
  <c r="F314" i="3"/>
  <c r="D292" i="3"/>
  <c r="H292" i="3"/>
  <c r="D31" i="2"/>
  <c r="B335" i="3" l="1"/>
  <c r="F335" i="3" s="1"/>
  <c r="Q43" i="2" s="1"/>
  <c r="P43" i="2"/>
  <c r="H314" i="3"/>
  <c r="P44" i="2" s="1"/>
  <c r="D314" i="3"/>
  <c r="B334" i="3" s="1"/>
  <c r="F334" i="3" s="1"/>
  <c r="Q42" i="2" s="1"/>
  <c r="B336" i="3" l="1"/>
  <c r="F336" i="3" s="1"/>
  <c r="Q44" i="2" s="1"/>
  <c r="P4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 Austin</author>
    <author>Melanie Butler</author>
  </authors>
  <commentList>
    <comment ref="A1" authorId="0" shapeId="0" xr:uid="{CBF00D0E-5FB1-4874-AAC2-5D3FB1399194}">
      <text>
        <r>
          <rPr>
            <b/>
            <sz val="11"/>
            <color indexed="81"/>
            <rFont val="Tahoma"/>
            <family val="2"/>
          </rPr>
          <t>The evaluation process specified herein shall be followed in its entirety to evaluate existing buildings in Groups A, B, E, F, M, R, S and U. For existing buildings in Group I-2, the evaluation process specified herein shall be followed and applied to each and every individual smoke compartment. Table 1401.7 shall be utilized for tabulating the results of the evaluation. References to other sections of this code indicate that compliance with those sections is required in order to gain credit in the evaluation herein outlined.  In applying this section to a building with mixed occupancies, where the separation between the mixed occupancies does not qualify for any category indicated in Section 1401.6.16, the score for each occupancy shall be determined, and the lower score determined for each section of the evaluation process shall apply to the entire building, or to each smoke compartment for Group I-2 occupancies.
Where the separation between the mixed occupancies qualifies for any category indicated in section 1401.6.16, the score for each occupancy shall apply to portion, or smoke compartment of the building based on the occupancy of the space.</t>
        </r>
        <r>
          <rPr>
            <b/>
            <sz val="10"/>
            <color indexed="81"/>
            <rFont val="Tahoma"/>
            <family val="2"/>
          </rPr>
          <t xml:space="preserve"> 
</t>
        </r>
        <r>
          <rPr>
            <sz val="9"/>
            <color indexed="81"/>
            <rFont val="Tahoma"/>
            <family val="2"/>
          </rPr>
          <t xml:space="preserve">
</t>
        </r>
      </text>
    </comment>
    <comment ref="D4" authorId="1" shapeId="0" xr:uid="{00000000-0006-0000-0000-000002000000}">
      <text>
        <r>
          <rPr>
            <b/>
            <sz val="9"/>
            <color indexed="81"/>
            <rFont val="Tahoma"/>
            <family val="2"/>
          </rPr>
          <t>◄Select the Occupancy Classification. That the existing building is changing to per Chapter 3 of the NCBC</t>
        </r>
      </text>
    </comment>
    <comment ref="J4" authorId="1" shapeId="0" xr:uid="{00000000-0006-0000-0000-000003000000}">
      <text>
        <r>
          <rPr>
            <b/>
            <sz val="9"/>
            <color indexed="81"/>
            <rFont val="Tahoma"/>
            <family val="2"/>
          </rPr>
          <t>◄Category a—Plenums not in accordance with Section
602 of the International Mechanical Code.
-10 points.
Category b—Air movement in egress elements not
in accordance with Section 1018.5 of the NC Building Code. -5 points.
Category c—Both categories a and b are applicable.
-15 points.
Category d—Compliance of the HVAC system
with Section 1020.5 of the NC Building Code and Section 602 of the International
Mechanical Code. 0 points.
Category e—Systems serving one story; or a central
boiler/chiller system without ductwork connecting
two or more stories. 5 points.</t>
        </r>
      </text>
    </comment>
    <comment ref="P4" authorId="1" shapeId="0" xr:uid="{00000000-0006-0000-0000-000009000000}">
      <text>
        <r>
          <rPr>
            <b/>
            <sz val="9"/>
            <color indexed="81"/>
            <rFont val="Tahoma"/>
            <family val="2"/>
          </rPr>
          <t>◄Category a—Sprinklers are required throughout;
sprinkler protection is not provided or the sprinkler
system design is not adequate for the hazard
protected in accordance with Section 903 of the NCBC.
Category b—Sprinklers are required in a portion
of the building; sprinkler protection is not provided
or the sprinkler system design is not adequate
for the hazard protected in accordance with
Section 903 of the NCBC.
Category c—Sprinklers are not required; none are
provided.
Category d—Sprinklers are required in a portion
of the building; sprinklers are provided in such
portion; the system is one which complied with the
code at the time of installation and is maintained
and supervised in accordance with Section 903 of the NCBC.
Category e—Sprinklers are required throughout;
sprinklers are provided throughout in accordance
with Chapter 9 of the NCBC.
Category f—Sprinklers are not required throughout;
sprinklers are provided throughout in accordance
with Chapter 9 of the NCBC.</t>
        </r>
      </text>
    </comment>
    <comment ref="D5" authorId="1" shapeId="0" xr:uid="{00000000-0006-0000-0000-000004000000}">
      <text>
        <r>
          <rPr>
            <b/>
            <sz val="9"/>
            <color indexed="81"/>
            <rFont val="Tahoma"/>
            <family val="2"/>
          </rPr>
          <t xml:space="preserve">◄Select the Type of Construction per Chapter 6 of the NCBC </t>
        </r>
      </text>
    </comment>
    <comment ref="J5" authorId="1" shapeId="0" xr:uid="{00000000-0006-0000-0000-000005000000}">
      <text>
        <r>
          <rPr>
            <b/>
            <sz val="9"/>
            <color indexed="81"/>
            <rFont val="Tahoma"/>
            <family val="2"/>
          </rPr>
          <t>◄This Safety Parameter affects FS, ME, and GS</t>
        </r>
        <r>
          <rPr>
            <sz val="9"/>
            <color indexed="81"/>
            <rFont val="Tahoma"/>
            <family val="2"/>
          </rPr>
          <t xml:space="preserve">
</t>
        </r>
      </text>
    </comment>
    <comment ref="P5" authorId="1" shapeId="0" xr:uid="{00000000-0006-0000-0000-00000B000000}">
      <text>
        <r>
          <rPr>
            <b/>
            <sz val="9"/>
            <color indexed="81"/>
            <rFont val="Tahoma"/>
            <family val="2"/>
          </rPr>
          <t>◄This Safety Parameter affects FS, ME, and GS</t>
        </r>
        <r>
          <rPr>
            <sz val="9"/>
            <color indexed="81"/>
            <rFont val="Tahoma"/>
            <family val="2"/>
          </rPr>
          <t xml:space="preserve">
</t>
        </r>
      </text>
    </comment>
    <comment ref="D6" authorId="1" shapeId="0" xr:uid="{00000000-0006-0000-0000-000007000000}">
      <text>
        <r>
          <rPr>
            <b/>
            <sz val="9"/>
            <color indexed="81"/>
            <rFont val="Tahoma"/>
            <family val="2"/>
          </rPr>
          <t>◄If the building is fully sprinklered select either NFPA 13 or NFPA 13R for type of system provided, for other types of systems or partial systems, or no system select "No".</t>
        </r>
      </text>
    </comment>
    <comment ref="A8" authorId="0" shapeId="0" xr:uid="{0E4CBF15-4EF5-4231-91B1-F589BB369D76}">
      <text>
        <r>
          <rPr>
            <b/>
            <sz val="9"/>
            <color indexed="81"/>
            <rFont val="Tahoma"/>
            <family val="2"/>
          </rPr>
          <t>The value for the building height and number of stories shall be the lesser value determined by the forumulas in 1401.6.1.1. 
Equation 14-1 
Equation 14-2</t>
        </r>
      </text>
    </comment>
    <comment ref="J8" authorId="1" shapeId="0" xr:uid="{00000000-0006-0000-0000-000008000000}">
      <text>
        <r>
          <rPr>
            <b/>
            <sz val="9"/>
            <color indexed="81"/>
            <rFont val="Tahoma"/>
            <family val="2"/>
          </rPr>
          <t>◄Category a—None.
Category b—Existing smoke detectors in HVAC
systems and maintained in accordance with the
International Fire Code.
Category c—Smoke detectors in HVAC systems.
The detectors are installed in accordance with the
requirements for new buildings in the International
Mechanical Code.
Category d—Smoke detectors throughout all floor
areas other than individual sleeping units, tenant
spaces and dwelling units.
Category e—Smoke detectors installed throughout
the floor area.
Category f-Smoke detectors in corridors only.</t>
        </r>
      </text>
    </comment>
    <comment ref="P8" authorId="1" shapeId="0" xr:uid="{00000000-0006-0000-0000-00000E000000}">
      <text>
        <r>
          <rPr>
            <b/>
            <sz val="9"/>
            <color indexed="81"/>
            <rFont val="Tahoma"/>
            <family val="2"/>
          </rPr>
          <t>◄Category a—Standpipes are required; standpipe is
not provided or the standpipe system design is not
in compliance with Section 905.3 of the NCBC.
Category b—Standpipes are not required; none are
provided.
Category c—Standpipes are required; standpipes
are provided in accordance with Section 905 of the NCBC.
Category d—Standpipes are not required;
standpipes are provided in accordance with Section
905 of the NCBC.</t>
        </r>
      </text>
    </comment>
    <comment ref="J9" authorId="1" shapeId="0" xr:uid="{00000000-0006-0000-0000-00000A000000}">
      <text>
        <r>
          <rPr>
            <b/>
            <sz val="9"/>
            <color indexed="81"/>
            <rFont val="Tahoma"/>
            <family val="2"/>
          </rPr>
          <t>◄This Safety Parameter affects FS, ME, and GS</t>
        </r>
        <r>
          <rPr>
            <sz val="9"/>
            <color indexed="81"/>
            <rFont val="Tahoma"/>
            <family val="2"/>
          </rPr>
          <t xml:space="preserve">
</t>
        </r>
      </text>
    </comment>
    <comment ref="P9" authorId="1" shapeId="0" xr:uid="{00000000-0006-0000-0000-000011000000}">
      <text>
        <r>
          <rPr>
            <b/>
            <sz val="9"/>
            <color indexed="81"/>
            <rFont val="Tahoma"/>
            <family val="2"/>
          </rPr>
          <t>◄This Safety Parameter affects FS, ME, and GS</t>
        </r>
        <r>
          <rPr>
            <sz val="9"/>
            <color indexed="81"/>
            <rFont val="Tahoma"/>
            <family val="2"/>
          </rPr>
          <t xml:space="preserve">
</t>
        </r>
      </text>
    </comment>
    <comment ref="D11" authorId="1" shapeId="0" xr:uid="{00000000-0006-0000-0000-00000C000000}">
      <text>
        <r>
          <rPr>
            <b/>
            <sz val="9"/>
            <color indexed="81"/>
            <rFont val="Tahoma"/>
            <family val="2"/>
          </rPr>
          <t>◄Insert the existing height of the building (feet)</t>
        </r>
      </text>
    </comment>
    <comment ref="J12" authorId="1" shapeId="0" xr:uid="{00000000-0006-0000-0000-00000D000000}">
      <text>
        <r>
          <rPr>
            <b/>
            <sz val="9"/>
            <color indexed="81"/>
            <rFont val="Tahoma"/>
            <family val="2"/>
          </rPr>
          <t>◄Category a—None.
Category b—Fire alarm system with manual fire
alarm boxes in accordance with Section 907.4 of the NCBC and
alarm notification appliances in accordance with Section 907.5.2 of the NCBC.
Category c—Fire alarm system in accordance with
Section 907 of the NCBC.
Category d—Category c plus a required emergency
voice/alarm communications system and a
fire command center that conforms to Section
911 of the NCBC and contains the emergency voice/alarm
communications system controls, fire department
communication system controls and any other
controls specified in Section 911 of the NCBC where those systems are provided.
Note: If there is no fire alarm system due to the fact that Section 907 of the NCBC is met, then select Category c rather than Category a for more accurate results.</t>
        </r>
      </text>
    </comment>
    <comment ref="P12" authorId="1" shapeId="0" xr:uid="{00000000-0006-0000-0000-000013000000}">
      <text>
        <r>
          <rPr>
            <b/>
            <sz val="9"/>
            <color indexed="81"/>
            <rFont val="Tahoma"/>
            <family val="2"/>
          </rPr>
          <t>◄Answering "No" means there are no incidental use areas in the building or floor area being evaluated; 
Answering "Yes" means there are incidental accessory occupancies in accordance with Section 509 of the NCBC.</t>
        </r>
      </text>
    </comment>
    <comment ref="D13" authorId="1" shapeId="0" xr:uid="{00000000-0006-0000-0000-00000F000000}">
      <text>
        <r>
          <rPr>
            <b/>
            <sz val="9"/>
            <color indexed="81"/>
            <rFont val="Tahoma"/>
            <family val="2"/>
          </rPr>
          <t>◄Insert the number of stories in the existing building</t>
        </r>
      </text>
    </comment>
    <comment ref="J13" authorId="1" shapeId="0" xr:uid="{00000000-0006-0000-0000-000010000000}">
      <text>
        <r>
          <rPr>
            <b/>
            <sz val="9"/>
            <color indexed="81"/>
            <rFont val="Tahoma"/>
            <family val="2"/>
          </rPr>
          <t>◄This Safety Parameter affects FS, ME, and GS</t>
        </r>
        <r>
          <rPr>
            <sz val="9"/>
            <color indexed="81"/>
            <rFont val="Tahoma"/>
            <family val="2"/>
          </rPr>
          <t xml:space="preserve">
</t>
        </r>
      </text>
    </comment>
    <comment ref="P14" authorId="1" shapeId="0" xr:uid="{00000000-0006-0000-0000-000016000000}">
      <text>
        <r>
          <rPr>
            <b/>
            <sz val="9"/>
            <color indexed="81"/>
            <rFont val="Tahoma"/>
            <family val="2"/>
          </rPr>
          <t>◄Select the protection provided for the incidental accessory occupancy
AS = Automatic Sprinkler System
CRS = Construction capable of resisting the passage of smoke</t>
        </r>
      </text>
    </comment>
    <comment ref="P15" authorId="1" shapeId="0" xr:uid="{00000000-0006-0000-0000-000017000000}">
      <text>
        <r>
          <rPr>
            <b/>
            <sz val="9"/>
            <color indexed="81"/>
            <rFont val="Tahoma"/>
            <family val="2"/>
          </rPr>
          <t xml:space="preserve">◄Select the required separation for the incidental use based on room or area per Table 509 of the NCBC. </t>
        </r>
        <r>
          <rPr>
            <sz val="9"/>
            <color indexed="81"/>
            <rFont val="Tahoma"/>
            <family val="2"/>
          </rPr>
          <t xml:space="preserve">
</t>
        </r>
      </text>
    </comment>
    <comment ref="J16" authorId="1" shapeId="0" xr:uid="{00000000-0006-0000-0000-000012000000}">
      <text>
        <r>
          <rPr>
            <b/>
            <sz val="9"/>
            <color indexed="81"/>
            <rFont val="Tahoma"/>
            <family val="2"/>
          </rPr>
          <t xml:space="preserve">◄Category a—None.
Category b—The building is equipped throughout with an automatic sprinkler system. Openings are provided in exterior walls at the rate of 20 square feet (1.86 m2) per 50 linear feet (15 240 mm) of exterior wall in each story and distributed around the building perimeter at intervals not exceeding 50 feet (15 240 mm). Such openings shall be readily openable from the inside without a key or separate tool and shall be provided with ready access thereto. In lieu of operable openings, clearly and permanently marked tempered glass panels shall be used.
Category c—One enclosed exit stairway, with ready access thereto, from each occupied floor of the building. The stairway has operable exterior windows and the building has openings in accordance with Category b.
Category d—One smokeproof enclosure and the building has openings in accordance with Category b.
Category e—The building is equipped throughout with an automatic sprinkler system. Each floor area is provided with a mechanical air-handling system designed to accomplish smoke containment. Return and exhaust air shall be moved directly to the outside without recirculation to other floor areas of the building under fire conditions. The system shall exhaust not less than six air changes per hour from the floor area. Supply air by mechanical means to the floor area is not required. Containment of smoke shall be considered as confining smoke to the fire area involved without migration to other floor areas. Any other tested and approved design which will adequately accomplish smoke containment is permitted.
Category f—Each stairway shall be one of the following: a smokeproof enclosure in accordance with Section 1023.11 of the NCBC; pressurized in accordance with Section 909.20.5 of the NCBC or shall have operable exterior windows.
Footnote a: The valuse for B, M, R, F, and S occupancies that do not meet catagory d or e for Section 1401.6.8 shall be 0. 
</t>
        </r>
      </text>
    </comment>
    <comment ref="J17" authorId="1" shapeId="0" xr:uid="{00000000-0006-0000-0000-000018000000}">
      <text>
        <r>
          <rPr>
            <b/>
            <sz val="9"/>
            <color indexed="81"/>
            <rFont val="Tahoma"/>
            <family val="2"/>
          </rPr>
          <t>◄This Safety Parameter affects ME and GS</t>
        </r>
        <r>
          <rPr>
            <sz val="9"/>
            <color indexed="81"/>
            <rFont val="Tahoma"/>
            <family val="2"/>
          </rPr>
          <t xml:space="preserve">
</t>
        </r>
      </text>
    </comment>
    <comment ref="P17" authorId="0" shapeId="0" xr:uid="{A09F9B0B-7B0C-43E3-9698-CD2D2B87A5C1}">
      <text>
        <r>
          <rPr>
            <b/>
            <sz val="9"/>
            <color indexed="81"/>
            <rFont val="Tahoma"/>
            <family val="2"/>
          </rPr>
          <t>◄This Safety Parameter affects FS, ME, and GS</t>
        </r>
        <r>
          <rPr>
            <sz val="9"/>
            <color indexed="81"/>
            <rFont val="Tahoma"/>
            <family val="2"/>
          </rPr>
          <t xml:space="preserve">
</t>
        </r>
      </text>
    </comment>
    <comment ref="D18" authorId="1" shapeId="0" xr:uid="{00000000-0006-0000-0000-000015000000}">
      <text>
        <r>
          <rPr>
            <b/>
            <sz val="9"/>
            <color indexed="81"/>
            <rFont val="Tahoma"/>
            <family val="2"/>
          </rPr>
          <t>◄This Safety Parameter affects FS, ME, and GS</t>
        </r>
      </text>
    </comment>
    <comment ref="J20" authorId="1" shapeId="0" xr:uid="{00000000-0006-0000-0000-00001D000000}">
      <text>
        <r>
          <rPr>
            <b/>
            <sz val="9"/>
            <color indexed="81"/>
            <rFont val="Tahoma"/>
            <family val="2"/>
          </rPr>
          <t>◄Category a—Compliance with the minimum
required means of egress capacity or number of
exits is achieved through the use of a fire escape in
accordance with Section 405.
Category b—Capacity of the means of egress complies
with Section 1004 of the NCBC and the number of exits
complies with the minimum number required by
Section 1021 of the NCBC.
Category c—Capacity of the means of egress is
equal to or exceeds 125 percent of the required
means of egress capacity, the means of egress
complies with the minimum required width
dimensions specified in the code and the number
of exits complies with the minimum number
required by Section 1021 of the NCBC.
Category d—The number of exits provided
exceeds the number of exits required by Section
1021 of the NCBC. Exits shall be located a distance apart from
each other equal to not less than that specified in
Section 1015.2 of the NCBC.
Category e—The area being evaluated meets both
Categories c and d.</t>
        </r>
      </text>
    </comment>
    <comment ref="P20" authorId="1" shapeId="0" xr:uid="{00000000-0006-0000-0000-00001F000000}">
      <text>
        <r>
          <rPr>
            <b/>
            <sz val="9"/>
            <color indexed="81"/>
            <rFont val="Tahoma"/>
            <family val="2"/>
          </rPr>
          <t>◄Category a - Smoke compartment size is equal to or less than 22,500 sq. ft.
Category b - Smoke compartment size is greater than 22,500 sq. ft.
Category c - Smoke compartments are not provided.</t>
        </r>
      </text>
    </comment>
    <comment ref="D21" authorId="1" shapeId="0" xr:uid="{00000000-0006-0000-0000-000019000000}">
      <text>
        <r>
          <rPr>
            <b/>
            <sz val="9"/>
            <color indexed="81"/>
            <rFont val="Tahoma"/>
            <family val="2"/>
          </rPr>
          <t>◄Insert the perimeter Perimeter in (feet) of the entire existing building</t>
        </r>
      </text>
    </comment>
    <comment ref="J21" authorId="1" shapeId="0" xr:uid="{00000000-0006-0000-0000-00001E000000}">
      <text>
        <r>
          <rPr>
            <b/>
            <sz val="9"/>
            <color indexed="81"/>
            <rFont val="Tahoma"/>
            <family val="2"/>
          </rPr>
          <t>◄This Safety Parameter affects ME and GS</t>
        </r>
        <r>
          <rPr>
            <sz val="9"/>
            <color indexed="81"/>
            <rFont val="Tahoma"/>
            <family val="2"/>
          </rPr>
          <t xml:space="preserve">
</t>
        </r>
      </text>
    </comment>
    <comment ref="P21" authorId="0" shapeId="0" xr:uid="{F02B611B-6DCB-41C9-8A9A-6DA1115E5F6C}">
      <text>
        <r>
          <rPr>
            <b/>
            <sz val="9"/>
            <color indexed="81"/>
            <rFont val="Tahoma"/>
            <family val="2"/>
          </rPr>
          <t>◄This Safety Parameter affects FS, ME, and GS</t>
        </r>
        <r>
          <rPr>
            <sz val="9"/>
            <color indexed="81"/>
            <rFont val="Tahoma"/>
            <family val="2"/>
          </rPr>
          <t xml:space="preserve">
</t>
        </r>
      </text>
    </comment>
    <comment ref="D22" authorId="1" shapeId="0" xr:uid="{00000000-0006-0000-0000-00001B000000}">
      <text>
        <r>
          <rPr>
            <b/>
            <sz val="9"/>
            <color indexed="81"/>
            <rFont val="Tahoma"/>
            <family val="2"/>
          </rPr>
          <t>◄Insert the perimeter (feet) of the existing building that fronts a public way greater than or equal to 20 ft in width in accordanc with 506.3.2 of the NCBC</t>
        </r>
      </text>
    </comment>
    <comment ref="D23" authorId="1" shapeId="0" xr:uid="{00000000-0006-0000-0000-00001C000000}">
      <text>
        <r>
          <rPr>
            <b/>
            <sz val="9"/>
            <color indexed="81"/>
            <rFont val="Tahoma"/>
            <family val="2"/>
          </rPr>
          <t xml:space="preserve">◄Insert the width of the public way (feet). 
W per Equation 5-4 of the NCBC </t>
        </r>
      </text>
    </comment>
    <comment ref="J24" authorId="1" shapeId="0" xr:uid="{00000000-0006-0000-0000-000021000000}">
      <text>
        <r>
          <rPr>
            <b/>
            <sz val="9"/>
            <color indexed="81"/>
            <rFont val="Tahoma"/>
            <family val="2"/>
          </rPr>
          <t>◄Insert distance (feet)  of the longest dead end path</t>
        </r>
      </text>
    </comment>
    <comment ref="D25" authorId="1" shapeId="0" xr:uid="{00000000-0006-0000-0000-000020000000}">
      <text>
        <r>
          <rPr>
            <b/>
            <sz val="9"/>
            <color indexed="81"/>
            <rFont val="Tahoma"/>
            <family val="2"/>
          </rPr>
          <t>◄Insert the actual building area (ft</t>
        </r>
        <r>
          <rPr>
            <b/>
            <vertAlign val="superscript"/>
            <sz val="9"/>
            <color indexed="81"/>
            <rFont val="Tahoma"/>
            <family val="2"/>
          </rPr>
          <t>2</t>
        </r>
        <r>
          <rPr>
            <b/>
            <sz val="9"/>
            <color indexed="81"/>
            <rFont val="Tahoma"/>
            <family val="2"/>
          </rPr>
          <t>)</t>
        </r>
      </text>
    </comment>
    <comment ref="J25" authorId="1" shapeId="0" xr:uid="{00000000-0006-0000-0000-000022000000}">
      <text>
        <r>
          <rPr>
            <b/>
            <sz val="9"/>
            <color indexed="81"/>
            <rFont val="Tahoma"/>
            <family val="2"/>
          </rPr>
          <t>◄Insert the width of the largest dead end (feet)
(considered no dead end when the length to width ratio is less than 2.5:1)</t>
        </r>
      </text>
    </comment>
    <comment ref="P25" authorId="1" shapeId="0" xr:uid="{00000000-0006-0000-0000-000024000000}">
      <text>
        <r>
          <rPr>
            <b/>
            <sz val="9"/>
            <color indexed="81"/>
            <rFont val="Tahoma"/>
            <family val="2"/>
          </rPr>
          <t>◄Category a - (mobile) Pateints are capable of self-preservation without assistance.
Category b - (not mobile) Patients rely on assistance for evacuation or relocation.
Category c - (not movable) Patients cannot be evacuated or relocated.</t>
        </r>
      </text>
    </comment>
    <comment ref="J26" authorId="1" shapeId="0" xr:uid="{00000000-0006-0000-0000-000023000000}">
      <text>
        <r>
          <rPr>
            <b/>
            <sz val="9"/>
            <color indexed="81"/>
            <rFont val="Tahoma"/>
            <family val="2"/>
          </rPr>
          <t>◄This Safety Parameter affects ME and GS</t>
        </r>
        <r>
          <rPr>
            <sz val="9"/>
            <color indexed="81"/>
            <rFont val="Tahoma"/>
            <family val="2"/>
          </rPr>
          <t xml:space="preserve">
</t>
        </r>
      </text>
    </comment>
    <comment ref="P26" authorId="0" shapeId="0" xr:uid="{A59E0CE6-3510-46D5-91A1-576E3D975B0F}">
      <text>
        <r>
          <rPr>
            <b/>
            <sz val="9"/>
            <color indexed="81"/>
            <rFont val="Tahoma"/>
            <family val="2"/>
          </rPr>
          <t>◄This Safety Parameter affects ME and GS</t>
        </r>
      </text>
    </comment>
    <comment ref="P28" authorId="1" shapeId="0" xr:uid="{00000000-0006-0000-0000-000027000000}">
      <text>
        <r>
          <rPr>
            <b/>
            <sz val="9"/>
            <color indexed="81"/>
            <rFont val="Tahoma"/>
            <family val="2"/>
          </rPr>
          <t>Category a - Smoke compartment has 1 to 10 patients
Category b - Smoke compartment has more than 10 to 40 patients
Category c - Smoke compartment has greater than 40 patients</t>
        </r>
        <r>
          <rPr>
            <sz val="9"/>
            <color indexed="81"/>
            <rFont val="Tahoma"/>
            <family val="2"/>
          </rPr>
          <t xml:space="preserve">
</t>
        </r>
      </text>
    </comment>
    <comment ref="J29" authorId="1" shapeId="0" xr:uid="{00000000-0006-0000-0000-000026000000}">
      <text>
        <r>
          <rPr>
            <b/>
            <sz val="9"/>
            <color indexed="81"/>
            <rFont val="Tahoma"/>
            <family val="2"/>
          </rPr>
          <t>◄Insert the maximum actual travel distance to an approved exit (feet)</t>
        </r>
      </text>
    </comment>
    <comment ref="P29" authorId="0" shapeId="0" xr:uid="{6C95DD07-9BE0-4580-A480-8AE4612DDF0C}">
      <text>
        <r>
          <rPr>
            <b/>
            <sz val="9"/>
            <color indexed="81"/>
            <rFont val="Tahoma"/>
            <family val="2"/>
          </rPr>
          <t>◄This Safety Parameter affects ME and GS</t>
        </r>
      </text>
    </comment>
    <comment ref="D31" authorId="1" shapeId="0" xr:uid="{00000000-0006-0000-0000-000025000000}">
      <text>
        <r>
          <rPr>
            <b/>
            <sz val="9"/>
            <color indexed="81"/>
            <rFont val="Tahoma"/>
            <family val="2"/>
          </rPr>
          <t>◄This Safety Parameter affects FS, ME, and GS</t>
        </r>
      </text>
    </comment>
    <comment ref="J31" authorId="0" shapeId="0" xr:uid="{719A76F2-1F94-4337-BD49-4E3355603701}">
      <text>
        <r>
          <rPr>
            <b/>
            <sz val="9"/>
            <color indexed="81"/>
            <rFont val="Tahoma"/>
            <family val="2"/>
          </rPr>
          <t xml:space="preserve">◄Maximum allowable travel distance per T1017.2.
Error indications not allowed for single exit. 
</t>
        </r>
        <r>
          <rPr>
            <sz val="9"/>
            <color indexed="81"/>
            <rFont val="Tahoma"/>
            <family val="2"/>
          </rPr>
          <t xml:space="preserve">
</t>
        </r>
      </text>
    </comment>
    <comment ref="P31" authorId="1" shapeId="0" xr:uid="{00000000-0006-0000-0000-00002A000000}">
      <text>
        <r>
          <rPr>
            <b/>
            <sz val="9"/>
            <color indexed="81"/>
            <rFont val="Tahoma"/>
            <family val="2"/>
          </rPr>
          <t>Category a - Attendant-to-patient concentration is 1:5.
Category b - Attendant-to-patient concentration is 1:6 to 1:10.
Category c - Attendant-to-patient concentration is greater than 1:10 or no patients.</t>
        </r>
        <r>
          <rPr>
            <sz val="9"/>
            <color indexed="81"/>
            <rFont val="Tahoma"/>
            <family val="2"/>
          </rPr>
          <t xml:space="preserve">
</t>
        </r>
      </text>
    </comment>
    <comment ref="J32" authorId="1" shapeId="0" xr:uid="{00000000-0006-0000-0000-000029000000}">
      <text>
        <r>
          <rPr>
            <b/>
            <sz val="9"/>
            <color indexed="81"/>
            <rFont val="Tahoma"/>
            <family val="2"/>
          </rPr>
          <t>◄This Safety Parameter affects ME and GS</t>
        </r>
        <r>
          <rPr>
            <sz val="9"/>
            <color indexed="81"/>
            <rFont val="Tahoma"/>
            <family val="2"/>
          </rPr>
          <t xml:space="preserve">
</t>
        </r>
      </text>
    </comment>
    <comment ref="P32" authorId="0" shapeId="0" xr:uid="{2281CEED-FCA8-4EDF-A7DF-0FCEB707C1F3}">
      <text>
        <r>
          <rPr>
            <b/>
            <sz val="9"/>
            <color indexed="81"/>
            <rFont val="Tahoma"/>
            <family val="2"/>
          </rPr>
          <t>◄This Safety Parameter affects ME and GS</t>
        </r>
        <r>
          <rPr>
            <sz val="9"/>
            <color indexed="81"/>
            <rFont val="Tahoma"/>
            <family val="2"/>
          </rPr>
          <t xml:space="preserve">
</t>
        </r>
      </text>
    </comment>
    <comment ref="D34" authorId="1" shapeId="0" xr:uid="{00000000-0006-0000-0000-000028000000}">
      <text>
        <r>
          <rPr>
            <b/>
            <sz val="9"/>
            <color indexed="81"/>
            <rFont val="Tahoma"/>
            <family val="2"/>
          </rPr>
          <t>◄Insert the net area of the compartment size (ft</t>
        </r>
        <r>
          <rPr>
            <b/>
            <vertAlign val="superscript"/>
            <sz val="9"/>
            <color indexed="81"/>
            <rFont val="Tahoma"/>
            <family val="2"/>
          </rPr>
          <t>2</t>
        </r>
        <r>
          <rPr>
            <b/>
            <sz val="9"/>
            <color indexed="81"/>
            <rFont val="Tahoma"/>
            <family val="2"/>
          </rPr>
          <t>)
Note: Fire barriers and Horizontal assemblies of 2 hours in accordance with Sections 707 and 711 of the NCBC create comparments.
Where the building is not divided into more than one compartment, the compartment size shall be taken as the total floor area on all floors.</t>
        </r>
      </text>
    </comment>
    <comment ref="J35" authorId="1" shapeId="0" xr:uid="{00000000-0006-0000-0000-00002C000000}">
      <text>
        <r>
          <rPr>
            <b/>
            <sz val="9"/>
            <color indexed="81"/>
            <rFont val="Tahoma"/>
            <family val="2"/>
          </rPr>
          <t xml:space="preserve">◄Category a—No elevator.
Category b—Any elevator without Phase I emergency recall operation and Phase II emergency in-car operation.
Category c—All elevators with Phase I emergency recall operation and Phase II emergency in-car operation as required by the International Fire Code.
Category d—All meet Category c; or Category b
where permitted to be without Phase I emergency recall operation and Phase II emergeancy in-car operation; and at least one elevator that complies with new construction requirements serves all occupied floors.
</t>
        </r>
      </text>
    </comment>
    <comment ref="J36" authorId="1" shapeId="0" xr:uid="{00000000-0006-0000-0000-00002D000000}">
      <text>
        <r>
          <rPr>
            <b/>
            <sz val="9"/>
            <color indexed="81"/>
            <rFont val="Tahoma"/>
            <family val="2"/>
          </rPr>
          <t xml:space="preserve">◄Answering "Yes" means there is less than 25 feet of travel above or below the primary level of elevator access for emergency fire fighting or rescue personnel; </t>
        </r>
      </text>
    </comment>
    <comment ref="D37" authorId="1" shapeId="0" xr:uid="{00000000-0006-0000-0000-00002B000000}">
      <text>
        <r>
          <rPr>
            <b/>
            <sz val="9"/>
            <color indexed="81"/>
            <rFont val="Tahoma"/>
            <family val="2"/>
          </rPr>
          <t>◄This Safety Parameter affects FS, ME, and GS</t>
        </r>
      </text>
    </comment>
    <comment ref="D40" authorId="1" shapeId="0" xr:uid="{00000000-0006-0000-0000-00002E000000}">
      <text>
        <r>
          <rPr>
            <b/>
            <sz val="9"/>
            <color indexed="81"/>
            <rFont val="Tahoma"/>
            <family val="2"/>
          </rPr>
          <t>◄Category a—No fire partitions; incomplete fire
partitions; no doors; doors not self-closing or
automatic-closing.
Category b—Fire partitions or floor assemblies
with less than a 1-hour fire-resistance rating or not
constructed in accordance with Sections 708 or
711 of the NCBC, respectively.
Category c—Fire partitions with a 1-hour or
greater fire-resistance rating constructed in accordance
with Section 708 of the NCBC and floor assemblies with a
1-hour but less than 2-hour fire-resistance rating
constructed in accordance with Section 711 of the NCBC, or with only one tenant within the floor area.
Category d—Fire barriers with a 1-hour but less
than 2-hour fire-resistance rating constructed in
accordance with Section 707 of the NCBC and floor assemblies with a 2-hour or greater fire-resistance rating constructed in accordance with Section 711 of the NCBC.
Category e—Fire barriers and floor assemblies
with a 2-hour or greater fire-resistance rating and
constructed in accordance with Sections 707 and
711 of the NCBC, respectively.</t>
        </r>
      </text>
    </comment>
    <comment ref="J40" authorId="1" shapeId="0" xr:uid="{00000000-0006-0000-0000-000030000000}">
      <text>
        <r>
          <rPr>
            <b/>
            <sz val="9"/>
            <color indexed="81"/>
            <rFont val="Tahoma"/>
            <family val="2"/>
          </rPr>
          <t>◄This Safety Parameter affects FS, ME, and GS</t>
        </r>
        <r>
          <rPr>
            <sz val="9"/>
            <color indexed="81"/>
            <rFont val="Tahoma"/>
            <family val="2"/>
          </rPr>
          <t xml:space="preserve">
</t>
        </r>
      </text>
    </comment>
    <comment ref="D41" authorId="1" shapeId="0" xr:uid="{00000000-0006-0000-0000-00002F000000}">
      <text>
        <r>
          <rPr>
            <b/>
            <sz val="9"/>
            <color indexed="81"/>
            <rFont val="Tahoma"/>
            <family val="2"/>
          </rPr>
          <t>◄This Safety Parameter affects FS, ME, and GS</t>
        </r>
        <r>
          <rPr>
            <sz val="9"/>
            <color indexed="81"/>
            <rFont val="Tahoma"/>
            <family val="2"/>
          </rPr>
          <t xml:space="preserve">
</t>
        </r>
      </text>
    </comment>
    <comment ref="J43" authorId="1" shapeId="0" xr:uid="{00000000-0006-0000-0000-000033000000}">
      <text>
        <r>
          <rPr>
            <b/>
            <sz val="9"/>
            <color indexed="81"/>
            <rFont val="Tahoma"/>
            <family val="2"/>
          </rPr>
          <t>◄Category a—Means of egress lighting and exit
signs not provided with emergency power in
accordance with Section 2702 of the NCBC.
Category b—Means of egress lighting and exit
signs provided with emergency power in accordance with Section 2702 of the NCBC.
Category c—Emergency power provided to
means of egress lighting and exit signs, which provides protection in the event of power failure to the site or building.</t>
        </r>
        <r>
          <rPr>
            <sz val="9"/>
            <color indexed="81"/>
            <rFont val="Tahoma"/>
            <family val="2"/>
          </rPr>
          <t xml:space="preserve">
</t>
        </r>
      </text>
    </comment>
    <comment ref="D44" authorId="1" shapeId="0" xr:uid="{00000000-0006-0000-0000-000031000000}">
      <text>
        <r>
          <rPr>
            <b/>
            <sz val="9"/>
            <color indexed="81"/>
            <rFont val="Tahoma"/>
            <family val="2"/>
          </rPr>
          <t>◄Category a—No fire partitions; incomplete fire
partitions; no doors; or doors not self-closing.
Category b—Less than 1-hour fire-resistance rating or not constructed in accordance with Section 708.4 of the NCBC.
Category c—1-hour to less than 2-hour fire-resistance rating, with doors conforming to Section 716 of the NCBC or without corridors as permitted by Section 1020 of the NCBC. Rated corridor not required per the NCBC
Category d—2-hour or greater fire-resistance rating, with doors conforming to Section 716 of the NCBC.
Note: Corridors not providing at least one-half the exit access travel distance for all occupants on a floor shall use Category b.</t>
        </r>
      </text>
    </comment>
    <comment ref="J44" authorId="1" shapeId="0" xr:uid="{00000000-0006-0000-0000-000034000000}">
      <text>
        <r>
          <rPr>
            <b/>
            <sz val="9"/>
            <color indexed="81"/>
            <rFont val="Tahoma"/>
            <family val="2"/>
          </rPr>
          <t>◄Answering "Yes" means there are two or more exits; Answering "No" means there is a minimum of one exit</t>
        </r>
      </text>
    </comment>
    <comment ref="D45" authorId="1" shapeId="0" xr:uid="{00000000-0006-0000-0000-000032000000}">
      <text>
        <r>
          <rPr>
            <b/>
            <sz val="9"/>
            <color indexed="81"/>
            <rFont val="Tahoma"/>
            <family val="2"/>
          </rPr>
          <t>◄This Safety Parameter affects FS, ME, and GS</t>
        </r>
        <r>
          <rPr>
            <sz val="9"/>
            <color indexed="81"/>
            <rFont val="Tahoma"/>
            <family val="2"/>
          </rPr>
          <t xml:space="preserve">
</t>
        </r>
      </text>
    </comment>
    <comment ref="J45" authorId="1" shapeId="0" xr:uid="{00000000-0006-0000-0000-000036000000}">
      <text>
        <r>
          <rPr>
            <b/>
            <sz val="9"/>
            <color indexed="81"/>
            <rFont val="Tahoma"/>
            <family val="2"/>
          </rPr>
          <t>◄This Safety Parameter affects ME and GS</t>
        </r>
        <r>
          <rPr>
            <sz val="9"/>
            <color indexed="81"/>
            <rFont val="Tahoma"/>
            <family val="2"/>
          </rPr>
          <t xml:space="preserve">
</t>
        </r>
      </text>
    </comment>
    <comment ref="D48" authorId="1" shapeId="0" xr:uid="{00000000-0006-0000-0000-000035000000}">
      <text>
        <r>
          <rPr>
            <b/>
            <sz val="9"/>
            <color indexed="81"/>
            <rFont val="Tahoma"/>
            <family val="2"/>
          </rPr>
          <t>◄Insert the maximum number of floors connected; if the structure is a one story building (EBS=1) then insert 1 for this value.</t>
        </r>
      </text>
    </comment>
    <comment ref="J48" authorId="1" shapeId="0" xr:uid="{00000000-0006-0000-0000-000038000000}">
      <text>
        <r>
          <rPr>
            <b/>
            <sz val="9"/>
            <color indexed="81"/>
            <rFont val="Tahoma"/>
            <family val="2"/>
          </rPr>
          <t>◄Category a—Occupancies separated by minimum
1-hour fire barriers or minimum 1-hour horizontal
assemblies, or both.
Category b—Separations between occupancies in
accordance with Section 508.4 of the NCBC.
Category c—Separations between occupancies
having a fire-resistance rating of not less than
twice that required by Section 508.4 of the NCBC.</t>
        </r>
      </text>
    </comment>
    <comment ref="D49" authorId="1" shapeId="0" xr:uid="{00000000-0006-0000-0000-000037000000}">
      <text>
        <r>
          <rPr>
            <b/>
            <sz val="9"/>
            <color indexed="81"/>
            <rFont val="Tahoma"/>
            <family val="2"/>
          </rPr>
          <t>◄Select the vertical opening protection based on Table 1401.6.6(1)</t>
        </r>
      </text>
    </comment>
    <comment ref="J49" authorId="1" shapeId="0" xr:uid="{00000000-0006-0000-0000-000039000000}">
      <text>
        <r>
          <rPr>
            <b/>
            <sz val="9"/>
            <color indexed="81"/>
            <rFont val="Tahoma"/>
            <family val="2"/>
          </rPr>
          <t xml:space="preserve">◄Answer "Yes" if the building has two or more occupancies that are not the same occupancy classification.
</t>
        </r>
      </text>
    </comment>
    <comment ref="J51" authorId="1" shapeId="0" xr:uid="{00000000-0006-0000-0000-000001000000}">
      <text>
        <r>
          <rPr>
            <b/>
            <sz val="9"/>
            <color indexed="81"/>
            <rFont val="Tahoma"/>
            <family val="2"/>
          </rPr>
          <t>◄Answering "Yes" means the mixed occupancies are separated by one of the qualifying categories.
Answering "No" requries a separate evaluation for each occupancy and the lower score for each occupancy for each section shall apply to the entire building.</t>
        </r>
      </text>
    </comment>
    <comment ref="D53" authorId="1" shapeId="0" xr:uid="{00000000-0006-0000-0000-00003A000000}">
      <text>
        <r>
          <rPr>
            <b/>
            <sz val="9"/>
            <color indexed="81"/>
            <rFont val="Tahoma"/>
            <family val="2"/>
          </rPr>
          <t>◄This Safety Parameter affects FS, ME, and GS</t>
        </r>
        <r>
          <rPr>
            <sz val="9"/>
            <color indexed="81"/>
            <rFont val="Tahoma"/>
            <family val="2"/>
          </rPr>
          <t xml:space="preserve">
</t>
        </r>
      </text>
    </comment>
    <comment ref="J53" authorId="1" shapeId="0" xr:uid="{00000000-0006-0000-0000-000006000000}">
      <text>
        <r>
          <rPr>
            <b/>
            <sz val="9"/>
            <color indexed="81"/>
            <rFont val="Tahoma"/>
            <family val="2"/>
          </rPr>
          <t>◄This Safety Parameter affects FS and GS</t>
        </r>
        <r>
          <rPr>
            <sz val="9"/>
            <color indexed="81"/>
            <rFont val="Tahoma"/>
            <family val="2"/>
          </rPr>
          <t xml:space="preserve">
</t>
        </r>
      </text>
    </comment>
  </commentList>
</comments>
</file>

<file path=xl/sharedStrings.xml><?xml version="1.0" encoding="utf-8"?>
<sst xmlns="http://schemas.openxmlformats.org/spreadsheetml/2006/main" count="757" uniqueCount="351">
  <si>
    <t>CF</t>
  </si>
  <si>
    <t>1A</t>
  </si>
  <si>
    <t>1B</t>
  </si>
  <si>
    <t>2A</t>
  </si>
  <si>
    <t>3A</t>
  </si>
  <si>
    <t>2B</t>
  </si>
  <si>
    <t>3B</t>
  </si>
  <si>
    <t>5A</t>
  </si>
  <si>
    <t>5B</t>
  </si>
  <si>
    <t>R</t>
  </si>
  <si>
    <t>A2</t>
  </si>
  <si>
    <t>A1</t>
  </si>
  <si>
    <t>S2</t>
  </si>
  <si>
    <t>M</t>
  </si>
  <si>
    <t>A3</t>
  </si>
  <si>
    <t>A4</t>
  </si>
  <si>
    <t>B</t>
  </si>
  <si>
    <t>E</t>
  </si>
  <si>
    <t>S1</t>
  </si>
  <si>
    <t>F1</t>
  </si>
  <si>
    <t>F2</t>
  </si>
  <si>
    <t>Occupancy</t>
  </si>
  <si>
    <t>No</t>
  </si>
  <si>
    <t>Yes</t>
  </si>
  <si>
    <t>Construction Type</t>
  </si>
  <si>
    <t>General Building Information</t>
  </si>
  <si>
    <t>Construction Factor</t>
  </si>
  <si>
    <t>Area Increase Factor for sprinklers</t>
  </si>
  <si>
    <t>Area Increase Factor for frontage</t>
  </si>
  <si>
    <t>Perimeter of Entire Building, ft</t>
  </si>
  <si>
    <t>Compartment Size, sq ft</t>
  </si>
  <si>
    <t>Category a</t>
  </si>
  <si>
    <t>Category b</t>
  </si>
  <si>
    <t>Category c</t>
  </si>
  <si>
    <t>Category d</t>
  </si>
  <si>
    <t>Category e</t>
  </si>
  <si>
    <t>Maximum Number of Floors Connected</t>
  </si>
  <si>
    <t>Protection Value</t>
  </si>
  <si>
    <t>Type of Protection</t>
  </si>
  <si>
    <t>None</t>
  </si>
  <si>
    <t>Construction Type Factor</t>
  </si>
  <si>
    <t>HVAC System Category</t>
  </si>
  <si>
    <t>Automatic Fire Detection Category</t>
  </si>
  <si>
    <t>Fire Alarm Category</t>
  </si>
  <si>
    <t>Smoke Control Category</t>
  </si>
  <si>
    <t>Means of Egress Category</t>
  </si>
  <si>
    <t>Maximum Dead End Length, ft</t>
  </si>
  <si>
    <t>Maximum Actual Travel Distance, ft</t>
  </si>
  <si>
    <t>Elevator Control Category</t>
  </si>
  <si>
    <t>Means of Egress Lighting Category</t>
  </si>
  <si>
    <t>Two or more exits?</t>
  </si>
  <si>
    <t>Mixed Occupancy Category</t>
  </si>
  <si>
    <t>Sprinkler System Category</t>
  </si>
  <si>
    <t>Standpipe System Category</t>
  </si>
  <si>
    <t>Less than 25 ft of travel above or below the primary level of elevator access for emergency personnel?</t>
  </si>
  <si>
    <t>Protection Provided</t>
  </si>
  <si>
    <t>1 Hour</t>
  </si>
  <si>
    <t>2 Hours</t>
  </si>
  <si>
    <t>Mandatory Safety Scores</t>
  </si>
  <si>
    <t>Mandatory Fire Safety</t>
  </si>
  <si>
    <t>Mandatory General Safety</t>
  </si>
  <si>
    <t>(MFS)</t>
  </si>
  <si>
    <t>(MME)</t>
  </si>
  <si>
    <t>(MGS)</t>
  </si>
  <si>
    <t>Building Score Total Values</t>
  </si>
  <si>
    <t>Fire Safety</t>
  </si>
  <si>
    <t>General Safety</t>
  </si>
  <si>
    <t>(FS)</t>
  </si>
  <si>
    <t>(ME)</t>
  </si>
  <si>
    <t>(GS)</t>
  </si>
  <si>
    <t>SUMMARY</t>
  </si>
  <si>
    <t>Means of Egress</t>
  </si>
  <si>
    <t>Compartmentation Value (CV)</t>
  </si>
  <si>
    <t>Corridor Walls Category</t>
  </si>
  <si>
    <t>Existing Building Height in stories</t>
  </si>
  <si>
    <t>UL</t>
  </si>
  <si>
    <t>R2</t>
  </si>
  <si>
    <t>R1</t>
  </si>
  <si>
    <t>R3</t>
  </si>
  <si>
    <t>R4</t>
  </si>
  <si>
    <t>Unit Separation Category</t>
  </si>
  <si>
    <t>Existing Building Height, ft</t>
  </si>
  <si>
    <t>Is the Building Fully Sprinklered?</t>
  </si>
  <si>
    <t>Mandatory Means of Egress</t>
  </si>
  <si>
    <t>Actual Building Area, sq ft</t>
  </si>
  <si>
    <t>Allowable Area, per floor, sq ft</t>
  </si>
  <si>
    <t>Dead End Width, ft</t>
  </si>
  <si>
    <t>Does the building have mixed occupancies?</t>
  </si>
  <si>
    <t>Is there separation between the mixed occupancies?</t>
  </si>
  <si>
    <t xml:space="preserve">Occupancy </t>
  </si>
  <si>
    <t>Sprinklers?</t>
  </si>
  <si>
    <t>AH, feet</t>
  </si>
  <si>
    <t>AS, stories</t>
  </si>
  <si>
    <t>EBH, feet</t>
  </si>
  <si>
    <t>EBS, stories</t>
  </si>
  <si>
    <t>AH Increase</t>
  </si>
  <si>
    <t>AS Increase</t>
  </si>
  <si>
    <t>Safety Parameter</t>
  </si>
  <si>
    <t>P, feet</t>
  </si>
  <si>
    <t>F, feet</t>
  </si>
  <si>
    <t>W, feet</t>
  </si>
  <si>
    <r>
      <t>I</t>
    </r>
    <r>
      <rPr>
        <vertAlign val="subscript"/>
        <sz val="10"/>
        <rFont val="Arial"/>
        <family val="2"/>
      </rPr>
      <t>s</t>
    </r>
  </si>
  <si>
    <r>
      <t>I</t>
    </r>
    <r>
      <rPr>
        <vertAlign val="subscript"/>
        <sz val="10"/>
        <rFont val="Arial"/>
        <family val="2"/>
      </rPr>
      <t xml:space="preserve">f </t>
    </r>
    <r>
      <rPr>
        <sz val="10"/>
        <rFont val="Arial"/>
        <family val="2"/>
      </rPr>
      <t>(Eq. 5-2)</t>
    </r>
  </si>
  <si>
    <r>
      <t>A</t>
    </r>
    <r>
      <rPr>
        <vertAlign val="subscript"/>
        <sz val="10"/>
        <rFont val="Arial"/>
        <family val="2"/>
      </rPr>
      <t>a</t>
    </r>
    <r>
      <rPr>
        <sz val="10"/>
        <rFont val="Arial"/>
        <family val="2"/>
      </rPr>
      <t xml:space="preserve"> building</t>
    </r>
  </si>
  <si>
    <r>
      <t>A</t>
    </r>
    <r>
      <rPr>
        <vertAlign val="subscript"/>
        <sz val="10"/>
        <rFont val="Arial"/>
        <family val="2"/>
      </rPr>
      <t xml:space="preserve">a </t>
    </r>
    <r>
      <rPr>
        <sz val="10"/>
        <rFont val="Arial"/>
        <family val="2"/>
      </rPr>
      <t xml:space="preserve"> per story</t>
    </r>
  </si>
  <si>
    <r>
      <t>A</t>
    </r>
    <r>
      <rPr>
        <vertAlign val="subscript"/>
        <sz val="10"/>
        <rFont val="Arial"/>
        <family val="2"/>
      </rPr>
      <t xml:space="preserve">t, </t>
    </r>
    <r>
      <rPr>
        <sz val="10"/>
        <rFont val="Arial"/>
        <family val="2"/>
      </rPr>
      <t>per story</t>
    </r>
  </si>
  <si>
    <t>A4, B, E, S2</t>
  </si>
  <si>
    <t>A1, A3</t>
  </si>
  <si>
    <t>F, M, R, S1</t>
  </si>
  <si>
    <t>a</t>
  </si>
  <si>
    <t>b</t>
  </si>
  <si>
    <t>c</t>
  </si>
  <si>
    <t>d</t>
  </si>
  <si>
    <t>e</t>
  </si>
  <si>
    <t>Compartment Size</t>
  </si>
  <si>
    <t>Category</t>
  </si>
  <si>
    <t>Compartmentation Value</t>
  </si>
  <si>
    <t>Interp.</t>
  </si>
  <si>
    <t>A3, F, M, R, S1</t>
  </si>
  <si>
    <t>HVAC System Category:</t>
  </si>
  <si>
    <t>Corridor Walls Category:</t>
  </si>
  <si>
    <t>Separation Category:</t>
  </si>
  <si>
    <t>A1, A3, F, M, R, S1</t>
  </si>
  <si>
    <t>Fire Detection Category:</t>
  </si>
  <si>
    <t>A1, A2, A3, A4, B, E, R</t>
  </si>
  <si>
    <t>F, M, S</t>
  </si>
  <si>
    <t>Fire Alarm Category:</t>
  </si>
  <si>
    <t>A4, E</t>
  </si>
  <si>
    <t>B, M, R</t>
  </si>
  <si>
    <t>F, S</t>
  </si>
  <si>
    <t>f</t>
  </si>
  <si>
    <t>Smoke Control Category:</t>
  </si>
  <si>
    <t>Categories</t>
  </si>
  <si>
    <t>A1, A2, A3, A4, E</t>
  </si>
  <si>
    <t>B, F, S</t>
  </si>
  <si>
    <t>Protection</t>
  </si>
  <si>
    <t>Less than 1 hour</t>
  </si>
  <si>
    <t>2 hours or more</t>
  </si>
  <si>
    <t>1 to less than 2 hours</t>
  </si>
  <si>
    <t>Value</t>
  </si>
  <si>
    <t>Number of Floors Connected:</t>
  </si>
  <si>
    <t>Construction Type Factor (CF):</t>
  </si>
  <si>
    <t>Maximum Actual Travel Distance:</t>
  </si>
  <si>
    <t>Maximum Allowable Travel Distance:</t>
  </si>
  <si>
    <t>Elevator Travel</t>
  </si>
  <si>
    <t>NP</t>
  </si>
  <si>
    <t>A1, A2, A3</t>
  </si>
  <si>
    <t>A3, A4, B, E, F, M, S1</t>
  </si>
  <si>
    <t>Less than 25 feet of travel above or below the primary level of elevator access</t>
  </si>
  <si>
    <t>Travel of 25 feet or more above or below the primary level of elevator access</t>
  </si>
  <si>
    <t>Elevator Control Category:</t>
  </si>
  <si>
    <t>Two or more exits</t>
  </si>
  <si>
    <t>Minimum of one exit</t>
  </si>
  <si>
    <t>Number of Exits</t>
  </si>
  <si>
    <t>Emergency Lighting Category:</t>
  </si>
  <si>
    <t>Automatic Sprinklers Category</t>
  </si>
  <si>
    <t>A1, A3, F, M ,R , S1</t>
  </si>
  <si>
    <t>Standpipe Category:</t>
  </si>
  <si>
    <t>Protection Value (PV):</t>
  </si>
  <si>
    <t>Vertical Opening Value (VO):</t>
  </si>
  <si>
    <t>Type of Protection Provided:</t>
  </si>
  <si>
    <t>Fire Safety (FS)</t>
  </si>
  <si>
    <t>Means of Egress (ME)</t>
  </si>
  <si>
    <t>General Safety (GS)</t>
  </si>
  <si>
    <t>Fire Safety (MFS)</t>
  </si>
  <si>
    <t>General Safety (MGS)</t>
  </si>
  <si>
    <t>Means of Egress (MME)</t>
  </si>
  <si>
    <t>F</t>
  </si>
  <si>
    <t xml:space="preserve">MME = </t>
  </si>
  <si>
    <t>MFS =</t>
  </si>
  <si>
    <t xml:space="preserve">MGS = </t>
  </si>
  <si>
    <t>Evaluation</t>
  </si>
  <si>
    <t>Building Score</t>
  </si>
  <si>
    <t>Pass/Fail?</t>
  </si>
  <si>
    <t xml:space="preserve">Dead End Length </t>
  </si>
  <si>
    <t>Dead End Width</t>
  </si>
  <si>
    <t>Dead End Category</t>
  </si>
  <si>
    <t>Largest Dead End L/W</t>
  </si>
  <si>
    <t>A1, A2, R</t>
  </si>
  <si>
    <t>A3, A4, B, E, F, M, S</t>
  </si>
  <si>
    <t>Are there mixed occupancies?</t>
  </si>
  <si>
    <t>Separation between mixed occupancies?</t>
  </si>
  <si>
    <t>---</t>
  </si>
  <si>
    <t>----</t>
  </si>
  <si>
    <t>Building Score - Total Value</t>
  </si>
  <si>
    <t>&lt; 1 hr</t>
  </si>
  <si>
    <t>1hr - 2hr</t>
  </si>
  <si>
    <t>&gt; 2 hr</t>
  </si>
  <si>
    <t>Category f</t>
  </si>
  <si>
    <t xml:space="preserve">Means of Egress Category: </t>
  </si>
  <si>
    <t>Specific Occupancy Areas?</t>
  </si>
  <si>
    <t>Mandatory Score</t>
  </si>
  <si>
    <t>Maximum Allowable Travel Distance, ft</t>
  </si>
  <si>
    <t>Single Exit?</t>
  </si>
  <si>
    <t>If yes, Story?</t>
  </si>
  <si>
    <t>1st/Basement</t>
  </si>
  <si>
    <t>2nd</t>
  </si>
  <si>
    <t>3rd</t>
  </si>
  <si>
    <t>NFPA 13</t>
  </si>
  <si>
    <t>NFPA 13R</t>
  </si>
  <si>
    <t>1401.6.1.: Building Height</t>
  </si>
  <si>
    <t>Height Value, ft (Eq. 14-1)</t>
  </si>
  <si>
    <t>Height Value, stories (Eq. 14-2)</t>
  </si>
  <si>
    <t>1401.6.2: Building Area</t>
  </si>
  <si>
    <t>Area Value (Eq. 14-4)</t>
  </si>
  <si>
    <t>1401.6.3: Compartmentation</t>
  </si>
  <si>
    <t>1401.6.4: Tenant &amp; Dwelling Unit Separations</t>
  </si>
  <si>
    <t>1401.6.5: Corridor Walls</t>
  </si>
  <si>
    <t>1401.6.6: Vertical Openings</t>
  </si>
  <si>
    <t>Vertical Opening Value (Eq. 14-5)</t>
  </si>
  <si>
    <t>1401.6.7: HVAC Systems</t>
  </si>
  <si>
    <t>1401.6.8: Automatic Fire Detection</t>
  </si>
  <si>
    <t>1401.6.9: Fire Alarm Systems</t>
  </si>
  <si>
    <t>1401.6.10: Smoke Control</t>
  </si>
  <si>
    <t>1401.6.11: Means of Egress</t>
  </si>
  <si>
    <t>1401.6.12: Dead Ends</t>
  </si>
  <si>
    <t>1401.6.13: Maximum Exit Access Travel Distance</t>
  </si>
  <si>
    <t>1401.6.14: Elevator Control</t>
  </si>
  <si>
    <t>1401.6.15: Means of Egress Emergency Lighting</t>
  </si>
  <si>
    <t>1401.6.16 Mixed Occupancies</t>
  </si>
  <si>
    <t>1401.6.17: Automatic Sprinklers</t>
  </si>
  <si>
    <t>1401.6.18: Standpipes</t>
  </si>
  <si>
    <t>1401.6.19: Incidental Use</t>
  </si>
  <si>
    <t>Chapter 14 Evaluation - Detailed Analysis</t>
  </si>
  <si>
    <t>1401.6.1 - Building Height</t>
  </si>
  <si>
    <t>Height Value, feet (Eq. 14-1)</t>
  </si>
  <si>
    <t>1401.6.2 - Building Area</t>
  </si>
  <si>
    <t>1401.6.3 - Compartmentation</t>
  </si>
  <si>
    <t>1401.6.4 - Tenant and Dwelling Unit Separation</t>
  </si>
  <si>
    <t>1401.6.5 - Corridor Walls</t>
  </si>
  <si>
    <t>1401.6.6 - Vertical Openings</t>
  </si>
  <si>
    <t>1401.6.7 - HVAC Systems</t>
  </si>
  <si>
    <t>1401.6.8 - Automatic Fire Detection</t>
  </si>
  <si>
    <t>1401.6.9 - Fire Alarm Systems</t>
  </si>
  <si>
    <t>1401.6.10 - Smoke Control</t>
  </si>
  <si>
    <t>1401.6.11 - Means of Egress Capacity</t>
  </si>
  <si>
    <t>1401.6.12 - Dead Ends</t>
  </si>
  <si>
    <t>1401.6.13 - Exit Access Travel Distance</t>
  </si>
  <si>
    <t>1401.6.14 - Elevator Control</t>
  </si>
  <si>
    <t>1401.6.15 - Means of Egress Emergency Lighting</t>
  </si>
  <si>
    <t>1401.6.16 - Mixed Occupancies</t>
  </si>
  <si>
    <t>1401.6.17 - Automatic Sprinklers</t>
  </si>
  <si>
    <t>1401.6.18 - Standpipes</t>
  </si>
  <si>
    <t>1401.6.19 - Incidental Accessory Occupancy</t>
  </si>
  <si>
    <t>Table 1401.7 - Summary Sheet - Building Code</t>
  </si>
  <si>
    <t>1401.6.1 Building Height</t>
  </si>
  <si>
    <t>1401.6.2 Building Area</t>
  </si>
  <si>
    <t>1401.6.3 Compartmentation</t>
  </si>
  <si>
    <t>1401.6.4 Tenant &amp; Dwelling Unit Separation</t>
  </si>
  <si>
    <t>1401.6.5 Corridor Walls</t>
  </si>
  <si>
    <t>1401.6.6 Vertical Openings</t>
  </si>
  <si>
    <t>1401.6.7 HVAC Systems</t>
  </si>
  <si>
    <t>1401.6.8 Automatic Fire Detection</t>
  </si>
  <si>
    <t>1401.6.9 Fire Alarm Systems</t>
  </si>
  <si>
    <t>1401.6.10 Smoke Control</t>
  </si>
  <si>
    <t>1401.6.11 Means of Egress Capacity</t>
  </si>
  <si>
    <t>1401.6.12 Dead Ends</t>
  </si>
  <si>
    <t>1401.6.13 Maximum Exit Access Travel Distance</t>
  </si>
  <si>
    <t>1401.6.14 Elevator Control</t>
  </si>
  <si>
    <t>1401.6.15 Means of Egress Emergency Lighting</t>
  </si>
  <si>
    <t>1401.6.17 Automatic Sprinklers</t>
  </si>
  <si>
    <t>1401.6.18 Standpipes</t>
  </si>
  <si>
    <t>1401.6.19 Incidental Accessory Occupancy</t>
  </si>
  <si>
    <t>Table 1401.8 Mandatory Safety Scores</t>
  </si>
  <si>
    <t>Compliance with Category d or e of 1401.6.8.1?</t>
  </si>
  <si>
    <r>
      <t>A</t>
    </r>
    <r>
      <rPr>
        <vertAlign val="subscript"/>
        <sz val="10"/>
        <rFont val="Arial"/>
        <family val="2"/>
      </rPr>
      <t>actual per story</t>
    </r>
  </si>
  <si>
    <t>2018 NCEBC Chapter 14 Evaluation</t>
  </si>
  <si>
    <t>I2</t>
  </si>
  <si>
    <t>1 Hour and AS</t>
  </si>
  <si>
    <t>AS with CRS</t>
  </si>
  <si>
    <t>AS</t>
  </si>
  <si>
    <t>2 Hours and AS</t>
  </si>
  <si>
    <t>2 Hours, or 1 Hour and AS</t>
  </si>
  <si>
    <t>1 Hour, or AS with CRS</t>
  </si>
  <si>
    <t>1 Hour or AS</t>
  </si>
  <si>
    <t>2 Hrs &amp; AS</t>
  </si>
  <si>
    <t>2 Hrs, or 1 Hr &amp; AS</t>
  </si>
  <si>
    <t>1 Hr &amp; AS</t>
  </si>
  <si>
    <t>AS w/ CRS</t>
  </si>
  <si>
    <t>1 Hr or AS</t>
  </si>
  <si>
    <t>1 Hr, or AS w/ CRS</t>
  </si>
  <si>
    <t>Protection Required by Table 509.4.2 of the NCBC</t>
  </si>
  <si>
    <t>A,B,E,F,M,R,S</t>
  </si>
  <si>
    <t>Smoke Compartmentation Category:</t>
  </si>
  <si>
    <t xml:space="preserve">1401.6.20 Smoke Compartmentation </t>
  </si>
  <si>
    <t>Smoke Compartmentation Category</t>
  </si>
  <si>
    <t>1401.6.21.2 Patient concentration</t>
  </si>
  <si>
    <t>Patient Concentration Category</t>
  </si>
  <si>
    <t>1401.6.21.3 Attendent to patient ratio</t>
  </si>
  <si>
    <t>1401.6.21 I-2 Occupancy Specifications</t>
  </si>
  <si>
    <t>Attendent to Patient Ratio Category</t>
  </si>
  <si>
    <t>Self Preservation Category</t>
  </si>
  <si>
    <t>1401.6.20 - Smoke Compartmentation</t>
  </si>
  <si>
    <t>1401.6.21.1 - Patient Ability for Self Preservation</t>
  </si>
  <si>
    <t>Self Preservation Catgeory:</t>
  </si>
  <si>
    <t>Patient Concentration Category:</t>
  </si>
  <si>
    <t>1401.6.21.2 - Patient Concentration</t>
  </si>
  <si>
    <t>1401.6.21 - I-2 Smoke Compartment Safety</t>
  </si>
  <si>
    <t>1401.6.21.3 - Attendant to Patient Ratio</t>
  </si>
  <si>
    <t>Attendant to Patient Ratio Category:</t>
  </si>
  <si>
    <t>1401.6.20 Smoke Compartmentation</t>
  </si>
  <si>
    <t>1401.6.21.1 Patient Ability for Self Preservation</t>
  </si>
  <si>
    <t>1401.6.21.2 Patient Concentration</t>
  </si>
  <si>
    <t>1401.6.21.3 Attendent-to-Patient Ratio</t>
  </si>
  <si>
    <t>1401.6.21.1 Patient ability for self preservation</t>
  </si>
  <si>
    <t>Yes/No</t>
  </si>
  <si>
    <t>Occupancy Classification</t>
  </si>
  <si>
    <t>Fire Resistance Rating</t>
  </si>
  <si>
    <t>Incidental Use Protection Provided 1401.6.19</t>
  </si>
  <si>
    <t>Incidental Use per T509 of the NCBC</t>
  </si>
  <si>
    <t>Sprinkler Protection</t>
  </si>
  <si>
    <t>NO IDEA</t>
  </si>
  <si>
    <t>Allowable Height Above Grade Plane Calculation</t>
  </si>
  <si>
    <t xml:space="preserve">Occupancy Group </t>
  </si>
  <si>
    <t>IA</t>
  </si>
  <si>
    <t>IIB</t>
  </si>
  <si>
    <t>IIIA</t>
  </si>
  <si>
    <t>IIIB</t>
  </si>
  <si>
    <t>IB</t>
  </si>
  <si>
    <t>IIA</t>
  </si>
  <si>
    <t>IV</t>
  </si>
  <si>
    <t>VA</t>
  </si>
  <si>
    <t>VB</t>
  </si>
  <si>
    <t>Allowable Height</t>
  </si>
  <si>
    <t>Table 503</t>
  </si>
  <si>
    <t>Stories</t>
  </si>
  <si>
    <t>A5</t>
  </si>
  <si>
    <t>U</t>
  </si>
  <si>
    <t xml:space="preserve">Table 503 </t>
  </si>
  <si>
    <t>Row Value</t>
  </si>
  <si>
    <t>Area</t>
  </si>
  <si>
    <t>Row Values</t>
  </si>
  <si>
    <t>Table 1401.6.6(2) - Construction Type Factor</t>
  </si>
  <si>
    <t>Tabular Area per story (NCBC Table 506.2)</t>
  </si>
  <si>
    <t>Allowable Height in stories, NCBC 504.4</t>
  </si>
  <si>
    <t xml:space="preserve">Allowable Height, ft (NCBC Table 504.3) </t>
  </si>
  <si>
    <t xml:space="preserve">Allowable Height, ft (NCBC Table 504.3 Sprinkler)  </t>
  </si>
  <si>
    <t>13/no</t>
  </si>
  <si>
    <t>13R</t>
  </si>
  <si>
    <t>Width of public way, ft W from Equation 5-4 NCBC</t>
  </si>
  <si>
    <t>Sprinkler or Non-sprinkler (max3)</t>
  </si>
  <si>
    <t>Allowable Story 5-2</t>
  </si>
  <si>
    <t>Are there incidental use areas in the building area?</t>
  </si>
  <si>
    <t>Protection Required 
(Table 509)</t>
  </si>
  <si>
    <t>SAFETY PARAMETER (FS) (ME) (GS)</t>
  </si>
  <si>
    <t>SAFETY PARAMETER (ME) (GS)</t>
  </si>
  <si>
    <t>SAFETY PARAMETER (FS) (GS)</t>
  </si>
  <si>
    <t>SAFETY PARAMETER (FS) (ME/2) (GS)</t>
  </si>
  <si>
    <t>Notes:</t>
  </si>
  <si>
    <t>Allowable Stories 13R</t>
  </si>
  <si>
    <r>
      <t xml:space="preserve">Perimeter that fronts on public way, </t>
    </r>
    <r>
      <rPr>
        <sz val="11"/>
        <rFont val="Calibri"/>
        <family val="2"/>
      </rPr>
      <t>≥</t>
    </r>
    <r>
      <rPr>
        <sz val="11"/>
        <rFont val="Arial"/>
        <family val="2"/>
      </rPr>
      <t>20 ft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</si>
</sst>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8" x14ac:knownFonts="1">
    <font>
      <sz val="10"/>
      <name val="Arial"/>
    </font>
    <font>
      <b/>
      <sz val="10"/>
      <name val="Arial"/>
      <family val="2"/>
    </font>
    <font>
      <sz val="10"/>
      <name val="Arial"/>
      <family val="2"/>
    </font>
    <font>
      <b/>
      <sz val="14"/>
      <name val="Arial"/>
      <family val="2"/>
    </font>
    <font>
      <vertAlign val="subscript"/>
      <sz val="10"/>
      <name val="Arial"/>
      <family val="2"/>
    </font>
    <font>
      <sz val="9"/>
      <color indexed="81"/>
      <name val="Tahoma"/>
      <family val="2"/>
    </font>
    <font>
      <b/>
      <sz val="9"/>
      <color indexed="81"/>
      <name val="Tahoma"/>
      <family val="2"/>
    </font>
    <font>
      <b/>
      <vertAlign val="superscript"/>
      <sz val="9"/>
      <color indexed="81"/>
      <name val="Tahoma"/>
      <family val="2"/>
    </font>
    <font>
      <b/>
      <u/>
      <sz val="10"/>
      <name val="Arial"/>
      <family val="2"/>
    </font>
    <font>
      <u/>
      <sz val="10"/>
      <name val="Arial"/>
      <family val="2"/>
    </font>
    <font>
      <b/>
      <sz val="11"/>
      <name val="Arial"/>
      <family val="2"/>
    </font>
    <font>
      <sz val="8"/>
      <name val="Arial"/>
      <family val="2"/>
    </font>
    <font>
      <b/>
      <sz val="10"/>
      <color indexed="81"/>
      <name val="Tahoma"/>
      <family val="2"/>
    </font>
    <font>
      <b/>
      <sz val="11"/>
      <color indexed="81"/>
      <name val="Tahoma"/>
      <family val="2"/>
    </font>
    <font>
      <sz val="11"/>
      <name val="Arial"/>
      <family val="2"/>
    </font>
    <font>
      <b/>
      <sz val="11"/>
      <color rgb="FFFF0000"/>
      <name val="Arial"/>
      <family val="2"/>
    </font>
    <font>
      <sz val="11"/>
      <color rgb="FFFF0000"/>
      <name val="Arial"/>
      <family val="2"/>
    </font>
    <font>
      <sz val="11"/>
      <name val="Calibri"/>
      <family val="2"/>
    </font>
  </fonts>
  <fills count="6">
    <fill>
      <patternFill patternType="none"/>
    </fill>
    <fill>
      <patternFill patternType="gray125"/>
    </fill>
    <fill>
      <patternFill patternType="solid">
        <fgColor rgb="FFFFFF99"/>
        <bgColor indexed="64"/>
      </patternFill>
    </fill>
    <fill>
      <patternFill patternType="solid">
        <fgColor theme="0" tint="-0.34998626667073579"/>
        <bgColor indexed="64"/>
      </patternFill>
    </fill>
    <fill>
      <patternFill patternType="solid">
        <fgColor rgb="FF92D050"/>
        <bgColor indexed="64"/>
      </patternFill>
    </fill>
    <fill>
      <patternFill patternType="solid">
        <fgColor theme="6" tint="0.39997558519241921"/>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ck">
        <color indexed="64"/>
      </bottom>
      <diagonal/>
    </border>
    <border>
      <left/>
      <right style="thick">
        <color indexed="64"/>
      </right>
      <top style="thin">
        <color indexed="64"/>
      </top>
      <bottom/>
      <diagonal/>
    </border>
    <border>
      <left/>
      <right style="thick">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ck">
        <color indexed="64"/>
      </left>
      <right/>
      <top/>
      <bottom style="thick">
        <color indexed="64"/>
      </bottom>
      <diagonal/>
    </border>
    <border>
      <left/>
      <right style="thick">
        <color indexed="64"/>
      </right>
      <top/>
      <bottom style="thick">
        <color indexed="64"/>
      </bottom>
      <diagonal/>
    </border>
  </borders>
  <cellStyleXfs count="1">
    <xf numFmtId="0" fontId="0" fillId="0" borderId="0"/>
  </cellStyleXfs>
  <cellXfs count="244">
    <xf numFmtId="0" fontId="0" fillId="0" borderId="0" xfId="0"/>
    <xf numFmtId="0" fontId="0" fillId="0" borderId="0" xfId="0" applyProtection="1">
      <protection hidden="1"/>
    </xf>
    <xf numFmtId="0" fontId="2" fillId="0" borderId="0" xfId="0" applyFont="1"/>
    <xf numFmtId="0" fontId="0" fillId="0" borderId="0" xfId="0" applyAlignment="1">
      <alignment horizontal="center"/>
    </xf>
    <xf numFmtId="0" fontId="1" fillId="0" borderId="0" xfId="0" applyFont="1"/>
    <xf numFmtId="0" fontId="2" fillId="0" borderId="0" xfId="0" applyFont="1" applyFill="1" applyBorder="1"/>
    <xf numFmtId="0" fontId="2" fillId="0" borderId="0" xfId="0" applyFont="1" applyAlignment="1">
      <alignment horizontal="center"/>
    </xf>
    <xf numFmtId="0" fontId="2" fillId="0" borderId="0" xfId="0" applyFont="1" applyFill="1" applyBorder="1" applyAlignment="1">
      <alignment horizontal="center"/>
    </xf>
    <xf numFmtId="0" fontId="0" fillId="0" borderId="0" xfId="0" applyBorder="1" applyAlignment="1">
      <alignment horizontal="center"/>
    </xf>
    <xf numFmtId="0" fontId="2" fillId="0" borderId="0" xfId="0" applyFont="1" applyBorder="1" applyAlignment="1">
      <alignment horizontal="center"/>
    </xf>
    <xf numFmtId="0" fontId="2" fillId="0" borderId="0" xfId="0" applyFont="1" applyBorder="1"/>
    <xf numFmtId="0" fontId="1" fillId="0" borderId="0" xfId="0" applyFont="1" applyFill="1" applyBorder="1"/>
    <xf numFmtId="0" fontId="0" fillId="0" borderId="0" xfId="0" applyBorder="1" applyAlignment="1" applyProtection="1">
      <alignment horizontal="center"/>
      <protection hidden="1"/>
    </xf>
    <xf numFmtId="0" fontId="0" fillId="0" borderId="0" xfId="0" applyAlignment="1" applyProtection="1">
      <alignment horizontal="center"/>
      <protection hidden="1"/>
    </xf>
    <xf numFmtId="0" fontId="2" fillId="0" borderId="0" xfId="0" applyFont="1" applyAlignment="1" applyProtection="1">
      <alignment horizontal="center"/>
      <protection hidden="1"/>
    </xf>
    <xf numFmtId="0" fontId="2" fillId="0" borderId="0" xfId="0" applyFont="1" applyAlignment="1">
      <alignment wrapText="1"/>
    </xf>
    <xf numFmtId="0" fontId="2" fillId="0" borderId="1" xfId="0" applyFont="1" applyBorder="1"/>
    <xf numFmtId="0" fontId="0" fillId="0" borderId="2" xfId="0" applyBorder="1"/>
    <xf numFmtId="0" fontId="2" fillId="0" borderId="1" xfId="0" applyFont="1" applyFill="1" applyBorder="1"/>
    <xf numFmtId="0" fontId="2" fillId="0" borderId="4" xfId="0" applyFont="1"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1" xfId="0" applyBorder="1"/>
    <xf numFmtId="0" fontId="0" fillId="0" borderId="4" xfId="0" applyBorder="1"/>
    <xf numFmtId="0" fontId="2" fillId="0" borderId="4" xfId="0" applyFont="1" applyBorder="1"/>
    <xf numFmtId="0" fontId="0" fillId="0" borderId="4" xfId="0"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wrapText="1"/>
    </xf>
    <xf numFmtId="0" fontId="0" fillId="0" borderId="2" xfId="0" applyBorder="1" applyAlignment="1">
      <alignment horizontal="center"/>
    </xf>
    <xf numFmtId="0" fontId="2" fillId="0" borderId="1" xfId="0" applyFont="1" applyBorder="1" applyAlignment="1">
      <alignment horizontal="center"/>
    </xf>
    <xf numFmtId="0" fontId="0" fillId="0" borderId="3" xfId="0" applyBorder="1" applyAlignment="1">
      <alignment horizontal="center"/>
    </xf>
    <xf numFmtId="0" fontId="2" fillId="0" borderId="4" xfId="0" applyFont="1" applyBorder="1" applyAlignment="1">
      <alignment horizontal="center" vertical="center" wrapText="1"/>
    </xf>
    <xf numFmtId="0" fontId="2" fillId="0" borderId="4" xfId="0" applyFont="1" applyBorder="1" applyAlignment="1">
      <alignment vertical="center" wrapText="1"/>
    </xf>
    <xf numFmtId="0" fontId="0" fillId="3" borderId="5" xfId="0" applyFill="1" applyBorder="1"/>
    <xf numFmtId="0" fontId="0" fillId="3" borderId="3" xfId="0" applyFill="1" applyBorder="1"/>
    <xf numFmtId="0" fontId="2" fillId="0" borderId="4" xfId="0" applyFont="1" applyBorder="1" applyAlignment="1">
      <alignment horizontal="left"/>
    </xf>
    <xf numFmtId="0" fontId="2" fillId="0" borderId="4" xfId="0" applyFont="1" applyFill="1" applyBorder="1" applyAlignment="1">
      <alignment horizontal="left"/>
    </xf>
    <xf numFmtId="0" fontId="2" fillId="0" borderId="5" xfId="0" applyFont="1" applyBorder="1" applyAlignment="1">
      <alignment horizontal="left"/>
    </xf>
    <xf numFmtId="0" fontId="0" fillId="3" borderId="6" xfId="0" applyFill="1" applyBorder="1"/>
    <xf numFmtId="0" fontId="0" fillId="3" borderId="0" xfId="0" applyFill="1" applyBorder="1"/>
    <xf numFmtId="0" fontId="8" fillId="0" borderId="0" xfId="0" applyFont="1"/>
    <xf numFmtId="0" fontId="9" fillId="0" borderId="0" xfId="0" applyFont="1"/>
    <xf numFmtId="0" fontId="0" fillId="0" borderId="0" xfId="0" applyBorder="1"/>
    <xf numFmtId="0" fontId="0" fillId="0" borderId="0" xfId="0" applyBorder="1" applyAlignment="1">
      <alignment horizontal="right"/>
    </xf>
    <xf numFmtId="0" fontId="2" fillId="0" borderId="0" xfId="0" applyFont="1" applyBorder="1" applyAlignment="1">
      <alignment horizontal="center" vertical="center" wrapText="1"/>
    </xf>
    <xf numFmtId="0" fontId="1" fillId="0" borderId="0" xfId="0" applyFont="1" applyBorder="1" applyAlignment="1">
      <alignment horizontal="center"/>
    </xf>
    <xf numFmtId="0" fontId="0" fillId="0" borderId="3" xfId="0" applyBorder="1" applyProtection="1">
      <protection hidden="1"/>
    </xf>
    <xf numFmtId="0" fontId="2" fillId="0" borderId="3" xfId="0" applyFont="1" applyBorder="1" applyProtection="1">
      <protection hidden="1"/>
    </xf>
    <xf numFmtId="0" fontId="0" fillId="0" borderId="0" xfId="0" applyAlignment="1" applyProtection="1">
      <alignment horizontal="center" vertical="center"/>
      <protection hidden="1"/>
    </xf>
    <xf numFmtId="0" fontId="0" fillId="0" borderId="3" xfId="0" applyBorder="1" applyAlignment="1" applyProtection="1">
      <alignment horizontal="right"/>
      <protection hidden="1"/>
    </xf>
    <xf numFmtId="0" fontId="2" fillId="0" borderId="0" xfId="0" applyNumberFormat="1" applyFont="1" applyAlignment="1" applyProtection="1">
      <alignment horizontal="center" vertical="center"/>
      <protection hidden="1"/>
    </xf>
    <xf numFmtId="0" fontId="0" fillId="0" borderId="0" xfId="0" applyAlignment="1" applyProtection="1">
      <alignment horizontal="right"/>
      <protection hidden="1"/>
    </xf>
    <xf numFmtId="164" fontId="0" fillId="0" borderId="0" xfId="0" applyNumberFormat="1"/>
    <xf numFmtId="164" fontId="0" fillId="0" borderId="0" xfId="0" applyNumberFormat="1" applyAlignment="1">
      <alignment horizontal="right"/>
    </xf>
    <xf numFmtId="164" fontId="0" fillId="0" borderId="0" xfId="0" applyNumberFormat="1" applyAlignment="1" applyProtection="1">
      <alignment horizontal="center"/>
      <protection hidden="1"/>
    </xf>
    <xf numFmtId="164" fontId="0" fillId="0" borderId="0" xfId="0" applyNumberFormat="1" applyBorder="1" applyAlignment="1" applyProtection="1">
      <alignment horizontal="center"/>
      <protection hidden="1"/>
    </xf>
    <xf numFmtId="0" fontId="2" fillId="0" borderId="7" xfId="0" applyFont="1" applyFill="1" applyBorder="1" applyAlignment="1">
      <alignment horizontal="left"/>
    </xf>
    <xf numFmtId="0" fontId="2" fillId="0" borderId="8" xfId="0" applyFont="1" applyBorder="1" applyAlignment="1">
      <alignment horizontal="left"/>
    </xf>
    <xf numFmtId="0" fontId="0" fillId="0" borderId="8" xfId="0" applyBorder="1" applyAlignment="1">
      <alignment horizontal="center"/>
    </xf>
    <xf numFmtId="0" fontId="0" fillId="0" borderId="0" xfId="0" applyFill="1" applyBorder="1" applyAlignment="1">
      <alignment horizontal="center"/>
    </xf>
    <xf numFmtId="0" fontId="0" fillId="0" borderId="1" xfId="0" applyBorder="1" applyAlignment="1">
      <alignment horizontal="center"/>
    </xf>
    <xf numFmtId="0" fontId="2" fillId="0" borderId="3" xfId="0" applyFont="1" applyBorder="1" applyAlignment="1">
      <alignment horizontal="center"/>
    </xf>
    <xf numFmtId="0" fontId="2" fillId="0" borderId="4" xfId="0" applyFont="1" applyFill="1" applyBorder="1"/>
    <xf numFmtId="0" fontId="0" fillId="0" borderId="4" xfId="0" applyFont="1" applyFill="1" applyBorder="1"/>
    <xf numFmtId="0" fontId="1" fillId="0" borderId="0" xfId="0" applyFont="1" applyBorder="1"/>
    <xf numFmtId="0" fontId="0" fillId="0" borderId="3" xfId="0" applyBorder="1"/>
    <xf numFmtId="0" fontId="0" fillId="0" borderId="0" xfId="0" applyBorder="1" applyProtection="1">
      <protection hidden="1"/>
    </xf>
    <xf numFmtId="0" fontId="0" fillId="3" borderId="8" xfId="0" applyFill="1" applyBorder="1"/>
    <xf numFmtId="164" fontId="0" fillId="0" borderId="0" xfId="0" applyNumberFormat="1" applyBorder="1"/>
    <xf numFmtId="0" fontId="0" fillId="0" borderId="0" xfId="0" applyBorder="1" applyAlignment="1">
      <alignment horizontal="center"/>
    </xf>
    <xf numFmtId="0" fontId="2" fillId="0" borderId="0" xfId="0" applyFont="1" applyBorder="1"/>
    <xf numFmtId="0" fontId="0" fillId="0" borderId="0" xfId="0" applyAlignment="1">
      <alignment horizontal="center" vertical="center"/>
    </xf>
    <xf numFmtId="0" fontId="2" fillId="0" borderId="0" xfId="0" applyFont="1" applyAlignment="1">
      <alignment horizontal="center" vertical="center"/>
    </xf>
    <xf numFmtId="0" fontId="10" fillId="0" borderId="0" xfId="0" applyFont="1" applyAlignment="1">
      <alignment vertical="center" wrapText="1"/>
    </xf>
    <xf numFmtId="0" fontId="0" fillId="0" borderId="0" xfId="0" applyNumberFormat="1" applyAlignment="1" applyProtection="1">
      <alignment horizontal="center" vertical="center"/>
      <protection hidden="1"/>
    </xf>
    <xf numFmtId="0" fontId="2" fillId="0" borderId="0" xfId="0" applyFont="1" applyAlignment="1">
      <alignment horizontal="left"/>
    </xf>
    <xf numFmtId="0" fontId="2" fillId="0" borderId="0" xfId="0" applyFont="1" applyAlignment="1">
      <alignment horizontal="left"/>
    </xf>
    <xf numFmtId="164" fontId="0" fillId="4" borderId="0" xfId="0" applyNumberFormat="1" applyFill="1"/>
    <xf numFmtId="164" fontId="0" fillId="5" borderId="0" xfId="0" applyNumberFormat="1" applyFill="1" applyAlignment="1">
      <alignment horizontal="right"/>
    </xf>
    <xf numFmtId="0" fontId="0" fillId="5" borderId="0" xfId="0" applyFill="1"/>
    <xf numFmtId="0" fontId="2" fillId="5" borderId="0" xfId="0" applyFont="1" applyFill="1"/>
    <xf numFmtId="0" fontId="2" fillId="0" borderId="0" xfId="0" applyFont="1" applyBorder="1" applyAlignment="1">
      <alignment horizontal="left"/>
    </xf>
    <xf numFmtId="0" fontId="0" fillId="0" borderId="10" xfId="0" applyBorder="1" applyAlignment="1"/>
    <xf numFmtId="0" fontId="2" fillId="0" borderId="12" xfId="0" applyFont="1" applyBorder="1" applyAlignment="1"/>
    <xf numFmtId="0" fontId="0" fillId="0" borderId="6" xfId="0" applyBorder="1" applyAlignment="1"/>
    <xf numFmtId="0" fontId="0" fillId="0" borderId="13" xfId="0" applyBorder="1" applyAlignment="1"/>
    <xf numFmtId="0" fontId="2" fillId="0" borderId="14" xfId="0" applyFont="1" applyBorder="1" applyAlignment="1"/>
    <xf numFmtId="0" fontId="0" fillId="0" borderId="0" xfId="0" applyBorder="1" applyAlignment="1"/>
    <xf numFmtId="0" fontId="0" fillId="0" borderId="15" xfId="0" applyBorder="1" applyAlignment="1"/>
    <xf numFmtId="0" fontId="2" fillId="0" borderId="14" xfId="0" applyFont="1" applyBorder="1" applyAlignment="1">
      <alignment horizontal="left"/>
    </xf>
    <xf numFmtId="0" fontId="2" fillId="0" borderId="15" xfId="0" applyFont="1" applyBorder="1" applyAlignment="1">
      <alignment horizontal="left"/>
    </xf>
    <xf numFmtId="0" fontId="1" fillId="0" borderId="9" xfId="0" applyFont="1" applyBorder="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12" xfId="0" applyFont="1" applyBorder="1" applyAlignment="1">
      <alignment horizontal="left"/>
    </xf>
    <xf numFmtId="0" fontId="2" fillId="0" borderId="6" xfId="0" applyFont="1" applyBorder="1" applyAlignment="1">
      <alignment horizontal="left"/>
    </xf>
    <xf numFmtId="0" fontId="2" fillId="0" borderId="13" xfId="0" applyFont="1" applyBorder="1" applyAlignment="1">
      <alignment horizontal="left"/>
    </xf>
    <xf numFmtId="0" fontId="2" fillId="0" borderId="9" xfId="0" applyFont="1" applyBorder="1" applyAlignment="1"/>
    <xf numFmtId="0" fontId="0" fillId="0" borderId="11" xfId="0" applyBorder="1" applyAlignment="1"/>
    <xf numFmtId="0" fontId="2" fillId="0" borderId="12" xfId="0" applyFont="1" applyBorder="1"/>
    <xf numFmtId="0" fontId="2" fillId="0" borderId="6" xfId="0" applyFont="1" applyBorder="1"/>
    <xf numFmtId="0" fontId="2" fillId="0" borderId="13" xfId="0" applyFont="1" applyBorder="1"/>
    <xf numFmtId="0" fontId="2" fillId="0" borderId="14" xfId="0" applyFont="1" applyBorder="1"/>
    <xf numFmtId="0" fontId="2" fillId="0" borderId="0" xfId="0" applyFont="1" applyBorder="1"/>
    <xf numFmtId="0" fontId="2" fillId="0" borderId="15" xfId="0" applyFont="1" applyBorder="1"/>
    <xf numFmtId="0" fontId="0" fillId="0" borderId="4" xfId="0" applyBorder="1" applyAlignment="1">
      <alignment horizontal="center"/>
    </xf>
    <xf numFmtId="0" fontId="2" fillId="0" borderId="4" xfId="0" applyFont="1" applyBorder="1" applyAlignment="1">
      <alignment horizontal="center"/>
    </xf>
    <xf numFmtId="0" fontId="0" fillId="0" borderId="1" xfId="0" applyBorder="1" applyAlignment="1">
      <alignment horizontal="center"/>
    </xf>
    <xf numFmtId="0" fontId="0" fillId="0" borderId="3"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9" xfId="0" applyBorder="1" applyAlignment="1">
      <alignment horizontal="center"/>
    </xf>
    <xf numFmtId="0" fontId="0" fillId="0" borderId="11" xfId="0" applyBorder="1" applyAlignment="1">
      <alignment horizontal="center"/>
    </xf>
    <xf numFmtId="0" fontId="0" fillId="0" borderId="6" xfId="0" applyBorder="1" applyAlignment="1">
      <alignment horizontal="center"/>
    </xf>
    <xf numFmtId="0" fontId="0" fillId="0" borderId="0" xfId="0" applyBorder="1" applyAlignment="1">
      <alignment horizontal="center"/>
    </xf>
    <xf numFmtId="0" fontId="2" fillId="0" borderId="12" xfId="0" quotePrefix="1" applyFont="1" applyBorder="1" applyAlignment="1">
      <alignment horizontal="center"/>
    </xf>
    <xf numFmtId="0" fontId="2" fillId="0" borderId="14" xfId="0" quotePrefix="1"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xf>
    <xf numFmtId="0" fontId="2" fillId="0" borderId="9" xfId="0" quotePrefix="1" applyFont="1" applyBorder="1" applyAlignment="1">
      <alignment horizontal="center"/>
    </xf>
    <xf numFmtId="0" fontId="0" fillId="0" borderId="10" xfId="0" applyBorder="1" applyAlignment="1">
      <alignment horizontal="center"/>
    </xf>
    <xf numFmtId="0" fontId="2" fillId="0" borderId="2" xfId="0" applyFont="1" applyBorder="1" applyAlignment="1">
      <alignment horizontal="center"/>
    </xf>
    <xf numFmtId="0" fontId="0" fillId="0" borderId="2" xfId="0" applyBorder="1" applyAlignment="1">
      <alignment horizontal="center"/>
    </xf>
    <xf numFmtId="0" fontId="1" fillId="0" borderId="9" xfId="0" applyFont="1" applyBorder="1" applyAlignment="1">
      <alignment horizontal="center"/>
    </xf>
    <xf numFmtId="0" fontId="1" fillId="0" borderId="11" xfId="0" applyFont="1" applyBorder="1" applyAlignment="1">
      <alignment horizontal="center"/>
    </xf>
    <xf numFmtId="0" fontId="1" fillId="0" borderId="1" xfId="0" applyFont="1" applyBorder="1" applyAlignment="1">
      <alignment horizontal="center"/>
    </xf>
    <xf numFmtId="0" fontId="1" fillId="0" borderId="3" xfId="0" applyFont="1" applyBorder="1" applyAlignment="1">
      <alignment horizontal="center"/>
    </xf>
    <xf numFmtId="0" fontId="1" fillId="0" borderId="10" xfId="0" applyFont="1" applyBorder="1" applyAlignment="1">
      <alignment horizontal="center"/>
    </xf>
    <xf numFmtId="0" fontId="2" fillId="0" borderId="4" xfId="0" applyFont="1" applyBorder="1" applyAlignment="1">
      <alignment horizontal="center" vertical="center" wrapText="1"/>
    </xf>
    <xf numFmtId="0" fontId="0" fillId="0" borderId="4" xfId="0" applyBorder="1" applyAlignment="1">
      <alignment horizontal="center" vertical="center" wrapText="1"/>
    </xf>
    <xf numFmtId="0" fontId="2" fillId="0" borderId="4" xfId="0" applyFont="1" applyBorder="1" applyAlignment="1">
      <alignment horizontal="center" wrapText="1"/>
    </xf>
    <xf numFmtId="0" fontId="0" fillId="0" borderId="4" xfId="0" applyBorder="1" applyAlignment="1">
      <alignment horizontal="center" wrapText="1"/>
    </xf>
    <xf numFmtId="0" fontId="0" fillId="0" borderId="4" xfId="0" applyBorder="1" applyAlignment="1">
      <alignment wrapText="1"/>
    </xf>
    <xf numFmtId="0" fontId="2" fillId="0" borderId="10" xfId="0" applyFont="1" applyBorder="1" applyAlignment="1">
      <alignment horizontal="center"/>
    </xf>
    <xf numFmtId="0" fontId="2" fillId="0" borderId="6" xfId="0" quotePrefix="1" applyFont="1" applyBorder="1" applyAlignment="1">
      <alignment horizontal="center"/>
    </xf>
    <xf numFmtId="0" fontId="2" fillId="0" borderId="0" xfId="0" applyFont="1" applyAlignment="1">
      <alignment horizontal="center" vertical="top"/>
    </xf>
    <xf numFmtId="0" fontId="0" fillId="0" borderId="0" xfId="0" applyProtection="1"/>
    <xf numFmtId="0" fontId="3" fillId="0" borderId="0" xfId="0" applyFont="1" applyProtection="1"/>
    <xf numFmtId="0" fontId="0" fillId="0" borderId="0" xfId="0" applyAlignment="1" applyProtection="1">
      <alignment horizontal="center"/>
    </xf>
    <xf numFmtId="0" fontId="0" fillId="0" borderId="0" xfId="0" applyBorder="1" applyProtection="1"/>
    <xf numFmtId="0" fontId="2" fillId="0" borderId="0" xfId="0" applyFont="1" applyAlignment="1" applyProtection="1">
      <alignment wrapText="1"/>
    </xf>
    <xf numFmtId="0" fontId="1" fillId="0" borderId="12" xfId="0" applyFont="1" applyBorder="1"/>
    <xf numFmtId="0" fontId="0" fillId="0" borderId="6" xfId="0" applyBorder="1"/>
    <xf numFmtId="0" fontId="0" fillId="0" borderId="13" xfId="0" applyBorder="1"/>
    <xf numFmtId="0" fontId="0" fillId="0" borderId="14" xfId="0" applyBorder="1"/>
    <xf numFmtId="0" fontId="0" fillId="0" borderId="15" xfId="0" applyBorder="1"/>
    <xf numFmtId="0" fontId="1" fillId="0" borderId="14" xfId="0" applyFont="1" applyBorder="1"/>
    <xf numFmtId="0" fontId="0" fillId="0" borderId="9" xfId="0" applyBorder="1"/>
    <xf numFmtId="0" fontId="0" fillId="0" borderId="10" xfId="0" applyBorder="1"/>
    <xf numFmtId="0" fontId="0" fillId="0" borderId="11" xfId="0" applyBorder="1"/>
    <xf numFmtId="0" fontId="14" fillId="0" borderId="0" xfId="0" applyFont="1" applyProtection="1"/>
    <xf numFmtId="0" fontId="10" fillId="0" borderId="0" xfId="0" applyFont="1" applyProtection="1"/>
    <xf numFmtId="0" fontId="10" fillId="0" borderId="0" xfId="0" applyFont="1" applyAlignment="1" applyProtection="1">
      <alignment horizontal="center"/>
    </xf>
    <xf numFmtId="0" fontId="14" fillId="2" borderId="0" xfId="0" applyFont="1" applyFill="1" applyBorder="1" applyAlignment="1" applyProtection="1">
      <alignment horizontal="center"/>
      <protection locked="0"/>
    </xf>
    <xf numFmtId="0" fontId="14" fillId="2" borderId="0" xfId="0" applyFont="1" applyFill="1" applyAlignment="1" applyProtection="1">
      <alignment horizontal="center"/>
      <protection locked="0"/>
    </xf>
    <xf numFmtId="0" fontId="15" fillId="0" borderId="1" xfId="0" applyFont="1" applyBorder="1" applyProtection="1"/>
    <xf numFmtId="0" fontId="16" fillId="0" borderId="2" xfId="0" applyFont="1" applyBorder="1" applyProtection="1"/>
    <xf numFmtId="0" fontId="15" fillId="0" borderId="3" xfId="0" applyFont="1" applyBorder="1" applyAlignment="1" applyProtection="1">
      <alignment horizontal="center"/>
      <protection hidden="1"/>
    </xf>
    <xf numFmtId="0" fontId="14" fillId="0" borderId="0" xfId="0" applyFont="1" applyFill="1" applyBorder="1" applyAlignment="1" applyProtection="1">
      <alignment horizontal="center"/>
    </xf>
    <xf numFmtId="0" fontId="14" fillId="0" borderId="0" xfId="0" applyFont="1" applyBorder="1" applyAlignment="1" applyProtection="1">
      <alignment horizontal="center"/>
      <protection hidden="1"/>
    </xf>
    <xf numFmtId="0" fontId="14" fillId="0" borderId="0" xfId="0" applyFont="1" applyFill="1" applyBorder="1" applyAlignment="1" applyProtection="1">
      <alignment horizontal="center"/>
      <protection hidden="1"/>
    </xf>
    <xf numFmtId="0" fontId="14" fillId="0" borderId="0" xfId="0" applyFont="1" applyAlignment="1" applyProtection="1">
      <alignment wrapText="1"/>
    </xf>
    <xf numFmtId="0" fontId="14" fillId="0" borderId="0" xfId="0" applyFont="1" applyFill="1" applyAlignment="1" applyProtection="1">
      <alignment horizontal="center" vertical="center"/>
    </xf>
    <xf numFmtId="0" fontId="14" fillId="0" borderId="0" xfId="0" applyFont="1" applyBorder="1" applyAlignment="1" applyProtection="1">
      <alignment horizontal="left"/>
    </xf>
    <xf numFmtId="0" fontId="14" fillId="0" borderId="0" xfId="0" applyFont="1" applyBorder="1" applyAlignment="1" applyProtection="1">
      <alignment horizontal="center"/>
    </xf>
    <xf numFmtId="0" fontId="10" fillId="0" borderId="0" xfId="0" applyFont="1" applyBorder="1" applyAlignment="1" applyProtection="1">
      <alignment horizontal="center"/>
      <protection hidden="1"/>
    </xf>
    <xf numFmtId="0" fontId="10" fillId="0" borderId="0" xfId="0" applyFont="1" applyAlignment="1" applyProtection="1">
      <alignment horizontal="center"/>
      <protection hidden="1"/>
    </xf>
    <xf numFmtId="0" fontId="15" fillId="0" borderId="1" xfId="0" applyFont="1" applyBorder="1" applyAlignment="1" applyProtection="1"/>
    <xf numFmtId="0" fontId="15" fillId="0" borderId="2" xfId="0" applyFont="1" applyBorder="1" applyAlignment="1" applyProtection="1"/>
    <xf numFmtId="0" fontId="10" fillId="0" borderId="0" xfId="0" applyFont="1" applyBorder="1" applyProtection="1"/>
    <xf numFmtId="0" fontId="14" fillId="0" borderId="0" xfId="0" applyFont="1" applyBorder="1" applyProtection="1"/>
    <xf numFmtId="0" fontId="10" fillId="0" borderId="0" xfId="0" applyFont="1" applyBorder="1" applyAlignment="1" applyProtection="1">
      <alignment horizontal="center"/>
    </xf>
    <xf numFmtId="0" fontId="10" fillId="0" borderId="0" xfId="0" applyFont="1" applyBorder="1" applyAlignment="1" applyProtection="1"/>
    <xf numFmtId="0" fontId="14" fillId="0" borderId="2" xfId="0" applyFont="1" applyBorder="1" applyProtection="1"/>
    <xf numFmtId="0" fontId="14" fillId="0" borderId="0" xfId="0" applyFont="1" applyFill="1" applyAlignment="1" applyProtection="1">
      <alignment horizontal="center"/>
      <protection hidden="1"/>
    </xf>
    <xf numFmtId="0" fontId="14" fillId="0" borderId="0" xfId="0" applyFont="1" applyAlignment="1" applyProtection="1">
      <alignment horizontal="center"/>
      <protection hidden="1"/>
    </xf>
    <xf numFmtId="0" fontId="15" fillId="0" borderId="0" xfId="0" applyFont="1" applyBorder="1" applyProtection="1"/>
    <xf numFmtId="0" fontId="14" fillId="0" borderId="0" xfId="0" applyFont="1" applyAlignment="1" applyProtection="1">
      <alignment horizontal="left"/>
    </xf>
    <xf numFmtId="0" fontId="14" fillId="0" borderId="0" xfId="0" applyFont="1" applyAlignment="1" applyProtection="1">
      <alignment horizontal="center"/>
    </xf>
    <xf numFmtId="0" fontId="14" fillId="2" borderId="0" xfId="0" applyFont="1" applyFill="1" applyAlignment="1" applyProtection="1">
      <alignment horizontal="center" vertical="center"/>
      <protection locked="0"/>
    </xf>
    <xf numFmtId="0" fontId="14" fillId="0" borderId="0" xfId="0" applyFont="1" applyFill="1" applyBorder="1" applyProtection="1"/>
    <xf numFmtId="0" fontId="14" fillId="0" borderId="16" xfId="0" applyFont="1" applyBorder="1" applyProtection="1"/>
    <xf numFmtId="0" fontId="15" fillId="0" borderId="2" xfId="0" applyFont="1" applyBorder="1" applyProtection="1"/>
    <xf numFmtId="0" fontId="14" fillId="0" borderId="0" xfId="0" applyFont="1" applyFill="1" applyAlignment="1" applyProtection="1">
      <alignment horizontal="center"/>
    </xf>
    <xf numFmtId="0" fontId="10" fillId="0" borderId="12" xfId="0" applyFont="1" applyBorder="1" applyAlignment="1" applyProtection="1">
      <alignment horizontal="left" vertical="top"/>
    </xf>
    <xf numFmtId="0" fontId="14" fillId="0" borderId="6" xfId="0" applyFont="1" applyBorder="1" applyAlignment="1" applyProtection="1">
      <alignment vertical="top"/>
      <protection locked="0"/>
    </xf>
    <xf numFmtId="0" fontId="14" fillId="0" borderId="17" xfId="0" applyFont="1" applyBorder="1" applyAlignment="1" applyProtection="1">
      <alignment vertical="top"/>
      <protection locked="0"/>
    </xf>
    <xf numFmtId="0" fontId="10" fillId="0" borderId="0" xfId="0" applyFont="1" applyFill="1" applyBorder="1" applyProtection="1"/>
    <xf numFmtId="0" fontId="15" fillId="0" borderId="1" xfId="0" applyFont="1" applyFill="1" applyBorder="1" applyProtection="1"/>
    <xf numFmtId="0" fontId="14" fillId="0" borderId="19" xfId="0" applyFont="1" applyBorder="1" applyAlignment="1" applyProtection="1">
      <alignment horizontal="center" vertical="top"/>
      <protection locked="0"/>
    </xf>
    <xf numFmtId="0" fontId="14" fillId="0" borderId="20" xfId="0" applyFont="1" applyBorder="1" applyAlignment="1" applyProtection="1">
      <alignment horizontal="center" vertical="top"/>
      <protection locked="0"/>
    </xf>
    <xf numFmtId="0" fontId="14" fillId="0" borderId="21" xfId="0" applyFont="1" applyBorder="1" applyAlignment="1" applyProtection="1">
      <alignment horizontal="center" vertical="top"/>
      <protection locked="0"/>
    </xf>
    <xf numFmtId="0" fontId="14" fillId="0" borderId="22" xfId="0" applyFont="1" applyBorder="1" applyAlignment="1" applyProtection="1">
      <alignment horizontal="center" vertical="top"/>
      <protection locked="0"/>
    </xf>
    <xf numFmtId="0" fontId="14" fillId="0" borderId="0" xfId="0" applyFont="1" applyBorder="1" applyAlignment="1" applyProtection="1">
      <alignment horizontal="center" vertical="top"/>
      <protection locked="0"/>
    </xf>
    <xf numFmtId="0" fontId="14" fillId="0" borderId="18" xfId="0" applyFont="1" applyBorder="1" applyAlignment="1" applyProtection="1">
      <alignment horizontal="center" vertical="top"/>
      <protection locked="0"/>
    </xf>
    <xf numFmtId="0" fontId="14" fillId="0" borderId="23" xfId="0" applyFont="1" applyBorder="1" applyAlignment="1" applyProtection="1">
      <alignment horizontal="center" vertical="top"/>
      <protection locked="0"/>
    </xf>
    <xf numFmtId="0" fontId="14" fillId="0" borderId="16" xfId="0" applyFont="1" applyBorder="1" applyAlignment="1" applyProtection="1">
      <alignment horizontal="center" vertical="top"/>
      <protection locked="0"/>
    </xf>
    <xf numFmtId="0" fontId="14" fillId="0" borderId="24" xfId="0" applyFont="1" applyBorder="1" applyAlignment="1" applyProtection="1">
      <alignment horizontal="center" vertical="top"/>
      <protection locked="0"/>
    </xf>
    <xf numFmtId="0" fontId="10" fillId="0" borderId="0" xfId="0" applyFont="1" applyAlignment="1" applyProtection="1">
      <alignment horizontal="left"/>
    </xf>
    <xf numFmtId="0" fontId="14" fillId="0" borderId="0" xfId="0" applyFont="1" applyAlignment="1" applyProtection="1">
      <alignment wrapText="1"/>
    </xf>
    <xf numFmtId="0" fontId="14" fillId="2" borderId="0" xfId="0" applyFont="1" applyFill="1" applyAlignment="1" applyProtection="1">
      <alignment horizontal="center" vertical="center"/>
      <protection locked="0"/>
    </xf>
    <xf numFmtId="0" fontId="10" fillId="0" borderId="0" xfId="0" applyFont="1" applyAlignment="1" applyProtection="1"/>
    <xf numFmtId="0" fontId="14" fillId="0" borderId="0" xfId="0" applyFont="1" applyAlignment="1" applyProtection="1"/>
    <xf numFmtId="0" fontId="14" fillId="0" borderId="0" xfId="0" applyFont="1" applyAlignment="1" applyProtection="1">
      <alignment horizontal="left" vertical="center" wrapText="1"/>
    </xf>
    <xf numFmtId="0" fontId="14" fillId="2" borderId="0" xfId="0" applyFont="1" applyFill="1" applyBorder="1" applyAlignment="1" applyProtection="1">
      <alignment horizontal="center" vertical="center" wrapText="1"/>
      <protection locked="0"/>
    </xf>
    <xf numFmtId="0" fontId="14" fillId="0" borderId="0" xfId="0" applyFont="1" applyAlignment="1" applyProtection="1">
      <alignment wrapText="1"/>
      <protection locked="0"/>
    </xf>
    <xf numFmtId="0" fontId="14" fillId="0" borderId="0" xfId="0" applyFont="1" applyBorder="1" applyAlignment="1" applyProtection="1">
      <alignment horizontal="left"/>
    </xf>
    <xf numFmtId="0" fontId="10" fillId="0" borderId="0" xfId="0" applyFont="1" applyBorder="1" applyAlignment="1" applyProtection="1"/>
    <xf numFmtId="0" fontId="14" fillId="0" borderId="10" xfId="0" applyFont="1" applyBorder="1" applyAlignment="1" applyProtection="1"/>
    <xf numFmtId="0" fontId="14" fillId="0" borderId="0" xfId="0" applyFont="1" applyAlignment="1" applyProtection="1">
      <protection locked="0"/>
    </xf>
    <xf numFmtId="0" fontId="14" fillId="0" borderId="10" xfId="0" applyFont="1" applyBorder="1" applyAlignment="1" applyProtection="1">
      <protection locked="0"/>
    </xf>
    <xf numFmtId="0" fontId="14" fillId="0" borderId="0" xfId="0" applyFont="1" applyAlignment="1" applyProtection="1">
      <alignment horizontal="left"/>
    </xf>
    <xf numFmtId="0" fontId="10" fillId="0" borderId="0" xfId="0" applyFont="1" applyAlignment="1">
      <alignment horizontal="left" wrapText="1"/>
    </xf>
    <xf numFmtId="0" fontId="10" fillId="0" borderId="0" xfId="0" applyFont="1" applyAlignment="1">
      <alignment horizontal="center" vertical="center" wrapText="1"/>
    </xf>
    <xf numFmtId="0" fontId="10" fillId="0" borderId="0" xfId="0" applyFont="1" applyAlignment="1">
      <alignment horizontal="center" vertical="center"/>
    </xf>
    <xf numFmtId="0" fontId="3"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2" fillId="0" borderId="4" xfId="0" applyFont="1" applyBorder="1" applyAlignment="1">
      <alignment horizontal="center"/>
    </xf>
    <xf numFmtId="0" fontId="0" fillId="0" borderId="4" xfId="0" applyBorder="1" applyAlignment="1">
      <alignment horizontal="center"/>
    </xf>
    <xf numFmtId="0" fontId="0" fillId="3" borderId="4" xfId="0" applyFill="1" applyBorder="1" applyAlignment="1"/>
    <xf numFmtId="0" fontId="0" fillId="3" borderId="8" xfId="0" applyFill="1" applyBorder="1" applyAlignment="1"/>
    <xf numFmtId="0" fontId="2" fillId="0" borderId="8" xfId="0" applyFont="1"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2" fillId="0" borderId="8" xfId="0" applyFont="1" applyBorder="1" applyAlignment="1">
      <alignment horizontal="center" vertical="center"/>
    </xf>
    <xf numFmtId="0" fontId="0" fillId="0" borderId="5" xfId="0" applyBorder="1" applyAlignment="1">
      <alignment horizontal="center" vertical="center"/>
    </xf>
    <xf numFmtId="0" fontId="0" fillId="3" borderId="5" xfId="0" applyFill="1" applyBorder="1" applyAlignment="1"/>
    <xf numFmtId="0" fontId="2" fillId="0" borderId="1" xfId="0" applyFont="1" applyBorder="1" applyAlignment="1">
      <alignment horizontal="center"/>
    </xf>
    <xf numFmtId="0" fontId="0" fillId="0" borderId="8" xfId="0" applyBorder="1" applyAlignment="1">
      <alignment horizontal="center" vertical="center"/>
    </xf>
    <xf numFmtId="0" fontId="2" fillId="0" borderId="12" xfId="0" applyFont="1" applyBorder="1" applyAlignment="1">
      <alignment horizontal="center" vertical="center"/>
    </xf>
    <xf numFmtId="0" fontId="0" fillId="0" borderId="9" xfId="0" applyBorder="1" applyAlignment="1">
      <alignment horizontal="center" vertical="center"/>
    </xf>
    <xf numFmtId="0" fontId="2" fillId="0" borderId="2" xfId="0" applyFont="1" applyBorder="1" applyAlignment="1">
      <alignment horizontal="center"/>
    </xf>
    <xf numFmtId="0" fontId="0" fillId="0" borderId="3" xfId="0" applyBorder="1" applyAlignment="1"/>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cellXfs>
  <cellStyles count="1">
    <cellStyle name="Normal" xfId="0" builtinId="0"/>
  </cellStyles>
  <dxfs count="23">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fgColor auto="1"/>
          <bgColor rgb="FFFFFF00"/>
        </patternFill>
      </fill>
    </dxf>
    <dxf>
      <font>
        <color rgb="FF9C0006"/>
      </font>
      <fill>
        <patternFill>
          <bgColor rgb="FFFFC7CE"/>
        </patternFill>
      </fill>
    </dxf>
    <dxf>
      <font>
        <b/>
        <i val="0"/>
        <strike val="0"/>
        <color rgb="FFFF0000"/>
      </font>
    </dxf>
  </dxfs>
  <tableStyles count="0" defaultTableStyle="TableStyleMedium9" defaultPivotStyle="PivotStyleLight16"/>
  <colors>
    <mruColors>
      <color rgb="FFFFFF99"/>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C127"/>
  <sheetViews>
    <sheetView showGridLines="0" tabSelected="1" topLeftCell="A28" zoomScaleNormal="100" zoomScalePageLayoutView="115" workbookViewId="0">
      <selection activeCell="D23" sqref="D23"/>
    </sheetView>
  </sheetViews>
  <sheetFormatPr defaultColWidth="8.85546875" defaultRowHeight="12.75" x14ac:dyDescent="0.2"/>
  <cols>
    <col min="1" max="2" width="12.28515625" style="141" customWidth="1"/>
    <col min="3" max="3" width="19" style="141" customWidth="1"/>
    <col min="4" max="4" width="12.28515625" style="141" customWidth="1"/>
    <col min="5" max="6" width="8.85546875" style="141"/>
    <col min="7" max="7" width="12.28515625" style="141" customWidth="1"/>
    <col min="8" max="8" width="12.42578125" style="141" customWidth="1"/>
    <col min="9" max="9" width="12.28515625" style="141" customWidth="1"/>
    <col min="10" max="10" width="12.140625" style="141" customWidth="1"/>
    <col min="11" max="12" width="8.85546875" style="141"/>
    <col min="13" max="13" width="6.42578125" style="141" customWidth="1"/>
    <col min="14" max="14" width="15" style="141" customWidth="1"/>
    <col min="15" max="15" width="17.7109375" style="141" customWidth="1"/>
    <col min="16" max="16" width="12.28515625" style="141" customWidth="1"/>
    <col min="17" max="16384" width="8.85546875" style="141"/>
  </cols>
  <sheetData>
    <row r="1" spans="1:29" ht="18" x14ac:dyDescent="0.25">
      <c r="A1" s="203" t="s">
        <v>266</v>
      </c>
      <c r="B1" s="203"/>
      <c r="C1" s="203"/>
      <c r="D1" s="203"/>
      <c r="E1" s="155"/>
      <c r="F1" s="155"/>
      <c r="G1" s="155"/>
      <c r="H1" s="155"/>
      <c r="I1" s="155"/>
      <c r="J1" s="155"/>
      <c r="K1" s="155"/>
      <c r="L1" s="155"/>
      <c r="M1" s="155"/>
      <c r="N1" s="155"/>
      <c r="O1" s="155"/>
      <c r="P1" s="155"/>
      <c r="Q1" s="155"/>
      <c r="T1" s="142"/>
    </row>
    <row r="2" spans="1:29" ht="14.25" x14ac:dyDescent="0.2">
      <c r="A2" s="155"/>
      <c r="B2" s="155"/>
      <c r="C2" s="155"/>
      <c r="D2" s="155"/>
      <c r="E2" s="155"/>
      <c r="F2" s="155"/>
      <c r="G2" s="155"/>
      <c r="H2" s="155"/>
      <c r="I2" s="155"/>
      <c r="J2" s="155"/>
      <c r="K2" s="155"/>
      <c r="L2" s="155"/>
      <c r="M2" s="155"/>
      <c r="N2" s="155"/>
      <c r="O2" s="155"/>
      <c r="P2" s="155"/>
      <c r="Q2" s="155"/>
    </row>
    <row r="3" spans="1:29" ht="12.75" customHeight="1" x14ac:dyDescent="0.25">
      <c r="A3" s="156" t="s">
        <v>25</v>
      </c>
      <c r="B3" s="155"/>
      <c r="C3" s="155"/>
      <c r="D3" s="155"/>
      <c r="E3" s="155"/>
      <c r="F3" s="155"/>
      <c r="G3" s="156" t="s">
        <v>210</v>
      </c>
      <c r="H3" s="155"/>
      <c r="I3" s="155"/>
      <c r="J3" s="155"/>
      <c r="K3" s="157"/>
      <c r="L3" s="155"/>
      <c r="M3" s="156" t="s">
        <v>220</v>
      </c>
      <c r="N3" s="155"/>
      <c r="O3" s="155"/>
      <c r="P3" s="155"/>
      <c r="Q3" s="155"/>
      <c r="W3" s="143"/>
      <c r="X3" s="143"/>
      <c r="Y3" s="143"/>
      <c r="Z3" s="143"/>
      <c r="AA3" s="143"/>
      <c r="AB3" s="143"/>
      <c r="AC3" s="143"/>
    </row>
    <row r="4" spans="1:29" ht="14.25" x14ac:dyDescent="0.2">
      <c r="A4" s="155" t="s">
        <v>21</v>
      </c>
      <c r="B4" s="155"/>
      <c r="C4" s="155"/>
      <c r="D4" s="158" t="s">
        <v>77</v>
      </c>
      <c r="E4" s="155"/>
      <c r="F4" s="155"/>
      <c r="G4" s="155" t="s">
        <v>41</v>
      </c>
      <c r="H4" s="155"/>
      <c r="I4" s="155"/>
      <c r="J4" s="159" t="s">
        <v>32</v>
      </c>
      <c r="K4" s="155"/>
      <c r="L4" s="155"/>
      <c r="M4" s="155" t="s">
        <v>52</v>
      </c>
      <c r="N4" s="155"/>
      <c r="O4" s="155"/>
      <c r="P4" s="159" t="s">
        <v>33</v>
      </c>
      <c r="Q4" s="155"/>
    </row>
    <row r="5" spans="1:29" ht="15" x14ac:dyDescent="0.25">
      <c r="A5" s="155" t="s">
        <v>24</v>
      </c>
      <c r="B5" s="155"/>
      <c r="C5" s="155"/>
      <c r="D5" s="158" t="s">
        <v>319</v>
      </c>
      <c r="E5" s="155"/>
      <c r="F5" s="155"/>
      <c r="G5" s="160" t="s">
        <v>344</v>
      </c>
      <c r="H5" s="161"/>
      <c r="I5" s="161"/>
      <c r="J5" s="162">
        <f>'Detailed Analysis'!I95</f>
        <v>-5</v>
      </c>
      <c r="K5" s="155"/>
      <c r="L5" s="155"/>
      <c r="M5" s="160" t="s">
        <v>347</v>
      </c>
      <c r="N5" s="161"/>
      <c r="O5" s="161"/>
      <c r="P5" s="162">
        <f>'Detailed Analysis'!I215</f>
        <v>0</v>
      </c>
      <c r="Q5" s="155"/>
      <c r="T5" s="143"/>
      <c r="U5" s="143"/>
      <c r="V5" s="143"/>
    </row>
    <row r="6" spans="1:29" ht="14.25" x14ac:dyDescent="0.2">
      <c r="A6" s="155" t="s">
        <v>82</v>
      </c>
      <c r="B6" s="155"/>
      <c r="C6" s="155"/>
      <c r="D6" s="158" t="s">
        <v>198</v>
      </c>
      <c r="E6" s="155"/>
      <c r="F6" s="155"/>
      <c r="G6" s="155"/>
      <c r="H6" s="155"/>
      <c r="I6" s="155"/>
      <c r="J6" s="155"/>
      <c r="K6" s="155"/>
      <c r="L6" s="155"/>
      <c r="M6" s="155"/>
      <c r="N6" s="155"/>
      <c r="O6" s="155"/>
      <c r="P6" s="155"/>
      <c r="Q6" s="155"/>
    </row>
    <row r="7" spans="1:29" ht="15" x14ac:dyDescent="0.25">
      <c r="A7" s="155"/>
      <c r="B7" s="155"/>
      <c r="C7" s="155"/>
      <c r="D7" s="155"/>
      <c r="E7" s="155"/>
      <c r="F7" s="155"/>
      <c r="G7" s="156" t="s">
        <v>211</v>
      </c>
      <c r="H7" s="155"/>
      <c r="I7" s="155"/>
      <c r="J7" s="155"/>
      <c r="K7" s="155"/>
      <c r="L7" s="155"/>
      <c r="M7" s="156" t="s">
        <v>221</v>
      </c>
      <c r="N7" s="155"/>
      <c r="O7" s="155"/>
      <c r="P7" s="155"/>
      <c r="Q7" s="155"/>
    </row>
    <row r="8" spans="1:29" ht="15" x14ac:dyDescent="0.25">
      <c r="A8" s="212" t="s">
        <v>200</v>
      </c>
      <c r="B8" s="212"/>
      <c r="C8" s="212"/>
      <c r="D8" s="155"/>
      <c r="E8" s="155"/>
      <c r="F8" s="155"/>
      <c r="G8" s="155" t="s">
        <v>42</v>
      </c>
      <c r="H8" s="155"/>
      <c r="I8" s="155"/>
      <c r="J8" s="159" t="s">
        <v>32</v>
      </c>
      <c r="K8" s="155"/>
      <c r="L8" s="155"/>
      <c r="M8" s="155" t="s">
        <v>53</v>
      </c>
      <c r="N8" s="155"/>
      <c r="O8" s="155"/>
      <c r="P8" s="159" t="s">
        <v>31</v>
      </c>
      <c r="Q8" s="155"/>
    </row>
    <row r="9" spans="1:29" ht="15" x14ac:dyDescent="0.25">
      <c r="A9" s="211" t="s">
        <v>335</v>
      </c>
      <c r="B9" s="211"/>
      <c r="C9" s="211"/>
      <c r="D9" s="163">
        <f>'Detailed Analysis'!B9</f>
        <v>65</v>
      </c>
      <c r="E9" s="155"/>
      <c r="F9" s="155"/>
      <c r="G9" s="160" t="s">
        <v>344</v>
      </c>
      <c r="H9" s="161"/>
      <c r="I9" s="161"/>
      <c r="J9" s="162">
        <f>'Detailed Analysis'!I108</f>
        <v>-5</v>
      </c>
      <c r="K9" s="155"/>
      <c r="L9" s="155"/>
      <c r="M9" s="160" t="s">
        <v>344</v>
      </c>
      <c r="N9" s="161"/>
      <c r="O9" s="161"/>
      <c r="P9" s="162">
        <f>'Detailed Analysis'!I228</f>
        <v>-6</v>
      </c>
      <c r="Q9" s="155"/>
    </row>
    <row r="10" spans="1:29" ht="14.25" x14ac:dyDescent="0.2">
      <c r="A10" s="211" t="s">
        <v>336</v>
      </c>
      <c r="B10" s="211"/>
      <c r="C10" s="211"/>
      <c r="D10" s="164">
        <f>'Detailed Analysis'!B10</f>
        <v>85</v>
      </c>
      <c r="E10" s="155"/>
      <c r="F10" s="155"/>
      <c r="G10" s="155"/>
      <c r="H10" s="155"/>
      <c r="I10" s="155"/>
      <c r="J10" s="155"/>
      <c r="K10" s="155"/>
      <c r="L10" s="155"/>
      <c r="M10" s="155"/>
      <c r="N10" s="155"/>
      <c r="O10" s="155"/>
      <c r="P10" s="155"/>
      <c r="Q10" s="155"/>
    </row>
    <row r="11" spans="1:29" ht="15" x14ac:dyDescent="0.25">
      <c r="A11" s="211" t="s">
        <v>81</v>
      </c>
      <c r="B11" s="211"/>
      <c r="C11" s="211"/>
      <c r="D11" s="158">
        <v>39</v>
      </c>
      <c r="E11" s="155"/>
      <c r="F11" s="155"/>
      <c r="G11" s="156" t="s">
        <v>212</v>
      </c>
      <c r="H11" s="155"/>
      <c r="I11" s="155"/>
      <c r="J11" s="155"/>
      <c r="K11" s="155"/>
      <c r="L11" s="155"/>
      <c r="M11" s="156" t="s">
        <v>222</v>
      </c>
      <c r="N11" s="155"/>
      <c r="O11" s="155"/>
      <c r="P11" s="155"/>
      <c r="Q11" s="155"/>
    </row>
    <row r="12" spans="1:29" ht="14.25" x14ac:dyDescent="0.2">
      <c r="A12" s="211" t="s">
        <v>334</v>
      </c>
      <c r="B12" s="211"/>
      <c r="C12" s="211"/>
      <c r="D12" s="165">
        <f>'Detailed Analysis'!B12</f>
        <v>5</v>
      </c>
      <c r="E12" s="155"/>
      <c r="F12" s="155"/>
      <c r="G12" s="155" t="s">
        <v>43</v>
      </c>
      <c r="H12" s="155"/>
      <c r="I12" s="155"/>
      <c r="J12" s="159" t="s">
        <v>32</v>
      </c>
      <c r="K12" s="155"/>
      <c r="L12" s="155"/>
      <c r="M12" s="204" t="s">
        <v>342</v>
      </c>
      <c r="N12" s="204"/>
      <c r="O12" s="204"/>
      <c r="P12" s="205" t="s">
        <v>23</v>
      </c>
      <c r="Q12" s="155"/>
    </row>
    <row r="13" spans="1:29" ht="15" x14ac:dyDescent="0.25">
      <c r="A13" s="211" t="s">
        <v>74</v>
      </c>
      <c r="B13" s="211"/>
      <c r="C13" s="211"/>
      <c r="D13" s="158">
        <v>1</v>
      </c>
      <c r="E13" s="155"/>
      <c r="F13" s="155"/>
      <c r="G13" s="160" t="s">
        <v>344</v>
      </c>
      <c r="H13" s="161"/>
      <c r="I13" s="161"/>
      <c r="J13" s="162">
        <f>'Detailed Analysis'!I120</f>
        <v>-5</v>
      </c>
      <c r="K13" s="155"/>
      <c r="L13" s="155"/>
      <c r="M13" s="204"/>
      <c r="N13" s="204"/>
      <c r="O13" s="204"/>
      <c r="P13" s="205"/>
      <c r="Q13" s="155"/>
    </row>
    <row r="14" spans="1:29" ht="14.25" x14ac:dyDescent="0.2">
      <c r="A14" s="211" t="s">
        <v>26</v>
      </c>
      <c r="B14" s="211"/>
      <c r="C14" s="211"/>
      <c r="D14" s="164">
        <f>'Detailed Analysis'!B15</f>
        <v>1</v>
      </c>
      <c r="E14" s="155"/>
      <c r="F14" s="155"/>
      <c r="G14" s="166"/>
      <c r="H14" s="166"/>
      <c r="I14" s="166"/>
      <c r="J14" s="167"/>
      <c r="K14" s="155"/>
      <c r="L14" s="155"/>
      <c r="M14" s="155" t="s">
        <v>55</v>
      </c>
      <c r="N14" s="155"/>
      <c r="O14" s="155"/>
      <c r="P14" s="159" t="s">
        <v>39</v>
      </c>
      <c r="Q14" s="155"/>
    </row>
    <row r="15" spans="1:29" ht="15" x14ac:dyDescent="0.25">
      <c r="A15" s="168"/>
      <c r="B15" s="168"/>
      <c r="C15" s="168"/>
      <c r="D15" s="163"/>
      <c r="E15" s="169"/>
      <c r="F15" s="155"/>
      <c r="G15" s="156" t="s">
        <v>213</v>
      </c>
      <c r="H15" s="155"/>
      <c r="I15" s="155"/>
      <c r="J15" s="155"/>
      <c r="K15" s="155"/>
      <c r="L15" s="155"/>
      <c r="M15" s="208" t="s">
        <v>343</v>
      </c>
      <c r="N15" s="208"/>
      <c r="O15" s="208"/>
      <c r="P15" s="209" t="s">
        <v>56</v>
      </c>
      <c r="Q15" s="155"/>
    </row>
    <row r="16" spans="1:29" ht="12.75" customHeight="1" x14ac:dyDescent="0.25">
      <c r="A16" s="212" t="s">
        <v>201</v>
      </c>
      <c r="B16" s="212"/>
      <c r="C16" s="212"/>
      <c r="D16" s="170">
        <f>'Detailed Analysis'!G6</f>
        <v>3.68</v>
      </c>
      <c r="E16" s="155"/>
      <c r="F16" s="155"/>
      <c r="G16" s="155" t="s">
        <v>44</v>
      </c>
      <c r="H16" s="155"/>
      <c r="I16" s="155"/>
      <c r="J16" s="159" t="s">
        <v>31</v>
      </c>
      <c r="K16" s="155"/>
      <c r="L16" s="155"/>
      <c r="M16" s="204"/>
      <c r="N16" s="204"/>
      <c r="O16" s="204"/>
      <c r="P16" s="210"/>
      <c r="Q16" s="155"/>
    </row>
    <row r="17" spans="1:18" ht="15" x14ac:dyDescent="0.25">
      <c r="A17" s="212" t="s">
        <v>202</v>
      </c>
      <c r="B17" s="212"/>
      <c r="C17" s="212"/>
      <c r="D17" s="171">
        <f>'Detailed Analysis'!G7</f>
        <v>4</v>
      </c>
      <c r="E17" s="155"/>
      <c r="F17" s="155"/>
      <c r="G17" s="160" t="s">
        <v>345</v>
      </c>
      <c r="H17" s="161"/>
      <c r="I17" s="161"/>
      <c r="J17" s="162">
        <f>'Detailed Analysis'!I135</f>
        <v>0</v>
      </c>
      <c r="K17" s="155"/>
      <c r="L17" s="155"/>
      <c r="M17" s="160" t="s">
        <v>344</v>
      </c>
      <c r="N17" s="161"/>
      <c r="O17" s="161"/>
      <c r="P17" s="162">
        <f>'Detailed Analysis'!I246</f>
        <v>-1</v>
      </c>
      <c r="Q17" s="155"/>
    </row>
    <row r="18" spans="1:18" ht="15" x14ac:dyDescent="0.25">
      <c r="A18" s="172" t="s">
        <v>344</v>
      </c>
      <c r="B18" s="173"/>
      <c r="C18" s="173"/>
      <c r="D18" s="162">
        <f>'Detailed Analysis'!I16</f>
        <v>3.68</v>
      </c>
      <c r="E18" s="155"/>
      <c r="F18" s="155"/>
      <c r="G18" s="155"/>
      <c r="H18" s="155"/>
      <c r="I18" s="155"/>
      <c r="J18" s="155"/>
      <c r="K18" s="155"/>
      <c r="L18" s="155"/>
      <c r="M18" s="174"/>
      <c r="N18" s="175"/>
      <c r="O18" s="175"/>
      <c r="P18" s="176"/>
      <c r="Q18" s="155"/>
    </row>
    <row r="19" spans="1:18" ht="15" x14ac:dyDescent="0.25">
      <c r="A19" s="177"/>
      <c r="B19" s="177"/>
      <c r="C19" s="177"/>
      <c r="D19" s="157"/>
      <c r="E19" s="155"/>
      <c r="F19" s="155"/>
      <c r="G19" s="156" t="s">
        <v>214</v>
      </c>
      <c r="H19" s="155"/>
      <c r="I19" s="155"/>
      <c r="J19" s="155"/>
      <c r="K19" s="155"/>
      <c r="L19" s="155"/>
      <c r="M19" s="174" t="s">
        <v>284</v>
      </c>
      <c r="N19" s="174"/>
      <c r="O19" s="174"/>
      <c r="P19" s="175"/>
      <c r="Q19" s="155"/>
    </row>
    <row r="20" spans="1:18" ht="15" x14ac:dyDescent="0.25">
      <c r="A20" s="156" t="s">
        <v>203</v>
      </c>
      <c r="B20" s="155"/>
      <c r="C20" s="155"/>
      <c r="D20" s="155"/>
      <c r="E20" s="155"/>
      <c r="F20" s="155"/>
      <c r="G20" s="155" t="s">
        <v>45</v>
      </c>
      <c r="H20" s="155"/>
      <c r="I20" s="155"/>
      <c r="J20" s="159" t="s">
        <v>33</v>
      </c>
      <c r="K20" s="155"/>
      <c r="L20" s="155"/>
      <c r="M20" s="155" t="s">
        <v>285</v>
      </c>
      <c r="N20" s="155"/>
      <c r="O20" s="155"/>
      <c r="P20" s="159" t="s">
        <v>32</v>
      </c>
      <c r="Q20" s="155"/>
    </row>
    <row r="21" spans="1:18" ht="15" x14ac:dyDescent="0.25">
      <c r="A21" s="207" t="s">
        <v>29</v>
      </c>
      <c r="B21" s="207"/>
      <c r="C21" s="207"/>
      <c r="D21" s="159">
        <v>3600</v>
      </c>
      <c r="E21" s="155"/>
      <c r="F21" s="155"/>
      <c r="G21" s="160" t="s">
        <v>345</v>
      </c>
      <c r="H21" s="161"/>
      <c r="I21" s="161"/>
      <c r="J21" s="162">
        <f>'Detailed Analysis'!I148</f>
        <v>0</v>
      </c>
      <c r="K21" s="155"/>
      <c r="L21" s="155"/>
      <c r="M21" s="160" t="s">
        <v>344</v>
      </c>
      <c r="N21" s="178"/>
      <c r="O21" s="178"/>
      <c r="P21" s="162">
        <f>'Detailed Analysis'!I256</f>
        <v>0</v>
      </c>
      <c r="Q21" s="155"/>
    </row>
    <row r="22" spans="1:18" ht="15" x14ac:dyDescent="0.25">
      <c r="A22" s="207" t="s">
        <v>350</v>
      </c>
      <c r="B22" s="207"/>
      <c r="C22" s="207"/>
      <c r="D22" s="159">
        <v>1500</v>
      </c>
      <c r="E22" s="155"/>
      <c r="F22" s="155"/>
      <c r="G22" s="155"/>
      <c r="H22" s="155"/>
      <c r="I22" s="155"/>
      <c r="J22" s="155"/>
      <c r="K22" s="155"/>
      <c r="L22" s="155"/>
      <c r="M22" s="155"/>
      <c r="N22" s="155"/>
      <c r="O22" s="155"/>
      <c r="P22" s="155"/>
      <c r="Q22" s="155"/>
    </row>
    <row r="23" spans="1:18" ht="12.75" customHeight="1" x14ac:dyDescent="0.25">
      <c r="A23" s="207" t="s">
        <v>339</v>
      </c>
      <c r="B23" s="207"/>
      <c r="C23" s="207"/>
      <c r="D23" s="159">
        <v>30</v>
      </c>
      <c r="E23" s="155"/>
      <c r="F23" s="155"/>
      <c r="G23" s="156" t="s">
        <v>215</v>
      </c>
      <c r="H23" s="155"/>
      <c r="I23" s="155"/>
      <c r="J23" s="155"/>
      <c r="K23" s="155"/>
      <c r="L23" s="155"/>
      <c r="M23" s="156" t="s">
        <v>289</v>
      </c>
      <c r="N23" s="156"/>
      <c r="O23" s="156"/>
      <c r="P23" s="155"/>
      <c r="Q23" s="155"/>
    </row>
    <row r="24" spans="1:18" ht="15" x14ac:dyDescent="0.25">
      <c r="A24" s="207" t="s">
        <v>333</v>
      </c>
      <c r="B24" s="207"/>
      <c r="C24" s="207"/>
      <c r="D24" s="179">
        <f>'Detailed Analysis'!B25</f>
        <v>24000</v>
      </c>
      <c r="E24" s="155"/>
      <c r="F24" s="155"/>
      <c r="G24" s="155" t="s">
        <v>46</v>
      </c>
      <c r="H24" s="155"/>
      <c r="I24" s="155"/>
      <c r="J24" s="159">
        <v>70</v>
      </c>
      <c r="K24" s="155"/>
      <c r="L24" s="155"/>
      <c r="M24" s="155"/>
      <c r="N24" s="156" t="s">
        <v>304</v>
      </c>
      <c r="O24" s="156"/>
      <c r="P24" s="156"/>
      <c r="Q24" s="155"/>
    </row>
    <row r="25" spans="1:18" ht="14.25" x14ac:dyDescent="0.2">
      <c r="A25" s="207" t="s">
        <v>84</v>
      </c>
      <c r="B25" s="207"/>
      <c r="C25" s="207"/>
      <c r="D25" s="159">
        <v>24000</v>
      </c>
      <c r="E25" s="155"/>
      <c r="F25" s="155"/>
      <c r="G25" s="155" t="s">
        <v>86</v>
      </c>
      <c r="H25" s="155"/>
      <c r="I25" s="155"/>
      <c r="J25" s="159">
        <v>5</v>
      </c>
      <c r="K25" s="155"/>
      <c r="L25" s="155"/>
      <c r="M25" s="155"/>
      <c r="N25" s="155" t="s">
        <v>291</v>
      </c>
      <c r="O25" s="155"/>
      <c r="P25" s="159" t="s">
        <v>31</v>
      </c>
      <c r="Q25" s="155"/>
    </row>
    <row r="26" spans="1:18" ht="15" x14ac:dyDescent="0.25">
      <c r="A26" s="207" t="s">
        <v>27</v>
      </c>
      <c r="B26" s="207"/>
      <c r="C26" s="207"/>
      <c r="D26" s="180">
        <f>'Detailed Analysis'!B24</f>
        <v>3</v>
      </c>
      <c r="E26" s="155"/>
      <c r="F26" s="155"/>
      <c r="G26" s="160" t="s">
        <v>345</v>
      </c>
      <c r="H26" s="161"/>
      <c r="I26" s="161"/>
      <c r="J26" s="162">
        <f>'Detailed Analysis'!I159</f>
        <v>-2</v>
      </c>
      <c r="K26" s="155"/>
      <c r="L26" s="155"/>
      <c r="M26" s="181"/>
      <c r="N26" s="160" t="s">
        <v>345</v>
      </c>
      <c r="O26" s="178"/>
      <c r="P26" s="162">
        <f>'Detailed Analysis'!I267</f>
        <v>0</v>
      </c>
      <c r="Q26" s="175"/>
      <c r="R26" s="144"/>
    </row>
    <row r="27" spans="1:18" ht="15" x14ac:dyDescent="0.25">
      <c r="A27" s="207" t="s">
        <v>28</v>
      </c>
      <c r="B27" s="207"/>
      <c r="C27" s="207"/>
      <c r="D27" s="180">
        <f>'Detailed Analysis'!B23</f>
        <v>0.17</v>
      </c>
      <c r="E27" s="155"/>
      <c r="F27" s="155"/>
      <c r="G27" s="155"/>
      <c r="H27" s="155"/>
      <c r="I27" s="155"/>
      <c r="J27" s="155"/>
      <c r="K27" s="155"/>
      <c r="L27" s="155"/>
      <c r="M27" s="155"/>
      <c r="N27" s="156" t="s">
        <v>286</v>
      </c>
      <c r="O27" s="155"/>
      <c r="P27" s="155"/>
      <c r="Q27" s="175"/>
      <c r="R27" s="144"/>
    </row>
    <row r="28" spans="1:18" ht="15" x14ac:dyDescent="0.25">
      <c r="A28" s="207" t="s">
        <v>85</v>
      </c>
      <c r="B28" s="207"/>
      <c r="C28" s="207"/>
      <c r="D28" s="180">
        <f>'Detailed Analysis'!B26</f>
        <v>100080</v>
      </c>
      <c r="E28" s="155"/>
      <c r="F28" s="155"/>
      <c r="G28" s="156" t="s">
        <v>216</v>
      </c>
      <c r="H28" s="155"/>
      <c r="I28" s="155"/>
      <c r="J28" s="155"/>
      <c r="K28" s="155"/>
      <c r="L28" s="155"/>
      <c r="M28" s="155"/>
      <c r="N28" s="182" t="s">
        <v>287</v>
      </c>
      <c r="O28" s="155"/>
      <c r="P28" s="159" t="s">
        <v>32</v>
      </c>
      <c r="Q28" s="155"/>
    </row>
    <row r="29" spans="1:18" ht="15" x14ac:dyDescent="0.25">
      <c r="A29" s="155"/>
      <c r="B29" s="155"/>
      <c r="C29" s="155"/>
      <c r="D29" s="183"/>
      <c r="E29" s="183"/>
      <c r="F29" s="155"/>
      <c r="G29" s="155" t="s">
        <v>47</v>
      </c>
      <c r="H29" s="155"/>
      <c r="I29" s="155"/>
      <c r="J29" s="184">
        <v>270</v>
      </c>
      <c r="K29" s="155"/>
      <c r="L29" s="155"/>
      <c r="M29" s="155"/>
      <c r="N29" s="160" t="s">
        <v>345</v>
      </c>
      <c r="O29" s="178"/>
      <c r="P29" s="162">
        <f>'Detailed Analysis'!I276</f>
        <v>0</v>
      </c>
      <c r="Q29" s="155"/>
    </row>
    <row r="30" spans="1:18" ht="15" x14ac:dyDescent="0.25">
      <c r="A30" s="156" t="s">
        <v>204</v>
      </c>
      <c r="B30" s="155"/>
      <c r="C30" s="155"/>
      <c r="D30" s="171">
        <f>'Detailed Analysis'!F20</f>
        <v>63.4</v>
      </c>
      <c r="E30" s="155"/>
      <c r="F30" s="155"/>
      <c r="G30" s="185" t="s">
        <v>193</v>
      </c>
      <c r="H30" s="159" t="s">
        <v>22</v>
      </c>
      <c r="I30" s="155" t="s">
        <v>194</v>
      </c>
      <c r="J30" s="159"/>
      <c r="K30" s="155"/>
      <c r="L30" s="155"/>
      <c r="M30" s="155"/>
      <c r="N30" s="156" t="s">
        <v>288</v>
      </c>
      <c r="O30" s="155"/>
      <c r="P30" s="155"/>
      <c r="Q30" s="155"/>
    </row>
    <row r="31" spans="1:18" ht="15" x14ac:dyDescent="0.25">
      <c r="A31" s="160" t="s">
        <v>344</v>
      </c>
      <c r="B31" s="161"/>
      <c r="C31" s="161"/>
      <c r="D31" s="162">
        <f>'Detailed Analysis'!I29</f>
        <v>10.5</v>
      </c>
      <c r="E31" s="155"/>
      <c r="F31" s="155"/>
      <c r="G31" s="185" t="s">
        <v>192</v>
      </c>
      <c r="H31" s="155"/>
      <c r="I31" s="155"/>
      <c r="J31" s="180">
        <f>'Detailed Analysis'!D164</f>
        <v>250</v>
      </c>
      <c r="K31" s="155"/>
      <c r="L31" s="155"/>
      <c r="M31" s="155"/>
      <c r="N31" s="155" t="s">
        <v>290</v>
      </c>
      <c r="O31" s="155"/>
      <c r="P31" s="159" t="s">
        <v>31</v>
      </c>
      <c r="Q31" s="155"/>
    </row>
    <row r="32" spans="1:18" ht="15" x14ac:dyDescent="0.25">
      <c r="A32" s="155"/>
      <c r="B32" s="155"/>
      <c r="C32" s="155"/>
      <c r="D32" s="155"/>
      <c r="E32" s="155"/>
      <c r="F32" s="155"/>
      <c r="G32" s="160" t="s">
        <v>345</v>
      </c>
      <c r="H32" s="161"/>
      <c r="I32" s="161"/>
      <c r="J32" s="162">
        <f>'Detailed Analysis'!I166</f>
        <v>-1.6</v>
      </c>
      <c r="K32" s="155"/>
      <c r="L32" s="155"/>
      <c r="M32" s="155"/>
      <c r="N32" s="160" t="s">
        <v>345</v>
      </c>
      <c r="O32" s="178"/>
      <c r="P32" s="162">
        <f>'Detailed Analysis'!I285</f>
        <v>0</v>
      </c>
      <c r="Q32" s="155"/>
    </row>
    <row r="33" spans="1:17" ht="15.75" thickBot="1" x14ac:dyDescent="0.3">
      <c r="A33" s="156" t="s">
        <v>205</v>
      </c>
      <c r="B33" s="155"/>
      <c r="C33" s="155"/>
      <c r="D33" s="155"/>
      <c r="E33" s="155"/>
      <c r="F33" s="155"/>
      <c r="G33" s="155"/>
      <c r="H33" s="155"/>
      <c r="I33" s="155"/>
      <c r="J33" s="155"/>
      <c r="K33" s="155"/>
      <c r="L33" s="155"/>
      <c r="M33" s="186"/>
      <c r="N33" s="186"/>
      <c r="O33" s="186"/>
      <c r="P33" s="186"/>
      <c r="Q33" s="186"/>
    </row>
    <row r="34" spans="1:17" ht="15.75" thickTop="1" x14ac:dyDescent="0.25">
      <c r="A34" s="155" t="s">
        <v>30</v>
      </c>
      <c r="B34" s="155"/>
      <c r="C34" s="155"/>
      <c r="D34" s="159">
        <v>10001</v>
      </c>
      <c r="E34" s="155"/>
      <c r="F34" s="155"/>
      <c r="G34" s="156" t="s">
        <v>217</v>
      </c>
      <c r="H34" s="155"/>
      <c r="I34" s="155"/>
      <c r="J34" s="155"/>
      <c r="K34" s="155"/>
      <c r="L34" s="155"/>
      <c r="M34" s="175"/>
      <c r="N34" s="175"/>
      <c r="O34" s="175"/>
      <c r="P34" s="175"/>
      <c r="Q34" s="155"/>
    </row>
    <row r="35" spans="1:17" ht="15" x14ac:dyDescent="0.25">
      <c r="A35" s="155"/>
      <c r="B35" s="155"/>
      <c r="C35" s="155"/>
      <c r="D35" s="155"/>
      <c r="E35" s="155"/>
      <c r="F35" s="155"/>
      <c r="G35" s="155" t="s">
        <v>48</v>
      </c>
      <c r="H35" s="155"/>
      <c r="I35" s="155"/>
      <c r="J35" s="159" t="s">
        <v>33</v>
      </c>
      <c r="K35" s="155"/>
      <c r="L35" s="155"/>
      <c r="M35" s="156" t="s">
        <v>70</v>
      </c>
      <c r="N35" s="155"/>
      <c r="O35" s="155"/>
      <c r="P35" s="155"/>
      <c r="Q35" s="155"/>
    </row>
    <row r="36" spans="1:17" ht="15" x14ac:dyDescent="0.25">
      <c r="A36" s="206" t="s">
        <v>72</v>
      </c>
      <c r="B36" s="207"/>
      <c r="C36" s="207"/>
      <c r="D36" s="171">
        <f>'Detailed Analysis'!C42</f>
        <v>0</v>
      </c>
      <c r="E36" s="155"/>
      <c r="F36" s="155"/>
      <c r="G36" s="208" t="s">
        <v>54</v>
      </c>
      <c r="H36" s="207"/>
      <c r="I36" s="207"/>
      <c r="J36" s="205" t="s">
        <v>22</v>
      </c>
      <c r="K36" s="155"/>
      <c r="L36" s="155"/>
      <c r="M36" s="156" t="s">
        <v>58</v>
      </c>
      <c r="N36" s="155"/>
      <c r="O36" s="155"/>
      <c r="P36" s="155"/>
      <c r="Q36" s="155"/>
    </row>
    <row r="37" spans="1:17" ht="15" x14ac:dyDescent="0.25">
      <c r="A37" s="160" t="s">
        <v>344</v>
      </c>
      <c r="B37" s="187"/>
      <c r="C37" s="161"/>
      <c r="D37" s="162">
        <f>'Detailed Analysis'!I44</f>
        <v>0</v>
      </c>
      <c r="E37" s="155"/>
      <c r="F37" s="155"/>
      <c r="G37" s="207"/>
      <c r="H37" s="207"/>
      <c r="I37" s="207"/>
      <c r="J37" s="214"/>
      <c r="K37" s="155"/>
      <c r="L37" s="155"/>
      <c r="M37" s="155" t="s">
        <v>59</v>
      </c>
      <c r="N37" s="155"/>
      <c r="O37" s="183" t="s">
        <v>61</v>
      </c>
      <c r="P37" s="180">
        <f>'Detailed Analysis'!D330</f>
        <v>21</v>
      </c>
      <c r="Q37" s="155"/>
    </row>
    <row r="38" spans="1:17" ht="14.25" x14ac:dyDescent="0.2">
      <c r="A38" s="155"/>
      <c r="B38" s="155"/>
      <c r="C38" s="155"/>
      <c r="D38" s="155"/>
      <c r="E38" s="155"/>
      <c r="F38" s="155"/>
      <c r="G38" s="207"/>
      <c r="H38" s="207"/>
      <c r="I38" s="207"/>
      <c r="J38" s="214"/>
      <c r="K38" s="188"/>
      <c r="L38" s="155"/>
      <c r="M38" s="155" t="s">
        <v>83</v>
      </c>
      <c r="N38" s="155"/>
      <c r="O38" s="183" t="s">
        <v>62</v>
      </c>
      <c r="P38" s="180">
        <f>'Detailed Analysis'!F330</f>
        <v>38</v>
      </c>
      <c r="Q38" s="155"/>
    </row>
    <row r="39" spans="1:17" ht="15" x14ac:dyDescent="0.25">
      <c r="A39" s="156" t="s">
        <v>206</v>
      </c>
      <c r="B39" s="155"/>
      <c r="C39" s="155"/>
      <c r="D39" s="155"/>
      <c r="E39" s="155"/>
      <c r="F39" s="155"/>
      <c r="G39" s="213"/>
      <c r="H39" s="213"/>
      <c r="I39" s="213"/>
      <c r="J39" s="215"/>
      <c r="K39" s="155"/>
      <c r="L39" s="155"/>
      <c r="M39" s="155" t="s">
        <v>60</v>
      </c>
      <c r="N39" s="155"/>
      <c r="O39" s="183" t="s">
        <v>63</v>
      </c>
      <c r="P39" s="180">
        <f>'Detailed Analysis'!H330</f>
        <v>38</v>
      </c>
      <c r="Q39" s="155"/>
    </row>
    <row r="40" spans="1:17" ht="15" x14ac:dyDescent="0.25">
      <c r="A40" s="155" t="s">
        <v>80</v>
      </c>
      <c r="B40" s="155"/>
      <c r="C40" s="155"/>
      <c r="D40" s="159" t="s">
        <v>33</v>
      </c>
      <c r="E40" s="155"/>
      <c r="F40" s="155"/>
      <c r="G40" s="160" t="s">
        <v>344</v>
      </c>
      <c r="H40" s="161"/>
      <c r="I40" s="161"/>
      <c r="J40" s="162">
        <f>'Detailed Analysis'!I177</f>
        <v>0</v>
      </c>
      <c r="K40" s="155"/>
      <c r="L40" s="155"/>
      <c r="M40" s="155"/>
      <c r="N40" s="155"/>
      <c r="O40" s="155"/>
      <c r="P40" s="155"/>
      <c r="Q40" s="155"/>
    </row>
    <row r="41" spans="1:17" ht="12.75" customHeight="1" x14ac:dyDescent="0.25">
      <c r="A41" s="160" t="s">
        <v>344</v>
      </c>
      <c r="B41" s="161"/>
      <c r="C41" s="161"/>
      <c r="D41" s="162">
        <f>'Detailed Analysis'!I59</f>
        <v>0</v>
      </c>
      <c r="E41" s="155"/>
      <c r="F41" s="155"/>
      <c r="G41" s="155"/>
      <c r="H41" s="155"/>
      <c r="I41" s="155"/>
      <c r="J41" s="157"/>
      <c r="K41" s="155"/>
      <c r="L41" s="155"/>
      <c r="M41" s="156" t="s">
        <v>64</v>
      </c>
      <c r="N41" s="155"/>
      <c r="O41" s="155"/>
      <c r="P41" s="155"/>
      <c r="Q41" s="155"/>
    </row>
    <row r="42" spans="1:17" ht="15" x14ac:dyDescent="0.25">
      <c r="A42" s="155"/>
      <c r="B42" s="155"/>
      <c r="C42" s="155"/>
      <c r="D42" s="155"/>
      <c r="E42" s="155"/>
      <c r="F42" s="155"/>
      <c r="G42" s="156" t="s">
        <v>218</v>
      </c>
      <c r="H42" s="155"/>
      <c r="I42" s="155"/>
      <c r="J42" s="155"/>
      <c r="K42" s="155"/>
      <c r="L42" s="155"/>
      <c r="M42" s="216" t="s">
        <v>65</v>
      </c>
      <c r="N42" s="216"/>
      <c r="O42" s="183" t="s">
        <v>67</v>
      </c>
      <c r="P42" s="180">
        <f>'Detailed Analysis'!D314</f>
        <v>-15.82</v>
      </c>
      <c r="Q42" s="170" t="str">
        <f>'Detailed Analysis'!F334</f>
        <v>FAIL</v>
      </c>
    </row>
    <row r="43" spans="1:17" ht="14.25" customHeight="1" x14ac:dyDescent="0.25">
      <c r="A43" s="156" t="s">
        <v>207</v>
      </c>
      <c r="B43" s="155"/>
      <c r="C43" s="155"/>
      <c r="D43" s="155"/>
      <c r="E43" s="155"/>
      <c r="F43" s="155"/>
      <c r="G43" s="155" t="s">
        <v>49</v>
      </c>
      <c r="H43" s="155"/>
      <c r="I43" s="155"/>
      <c r="J43" s="159" t="s">
        <v>33</v>
      </c>
      <c r="K43" s="155"/>
      <c r="L43" s="155"/>
      <c r="M43" s="216" t="s">
        <v>71</v>
      </c>
      <c r="N43" s="216"/>
      <c r="O43" s="183" t="s">
        <v>68</v>
      </c>
      <c r="P43" s="180">
        <f>'Detailed Analysis'!F314</f>
        <v>-5.42</v>
      </c>
      <c r="Q43" s="170" t="str">
        <f>'Detailed Analysis'!F335</f>
        <v>FAIL</v>
      </c>
    </row>
    <row r="44" spans="1:17" ht="12.75" customHeight="1" x14ac:dyDescent="0.25">
      <c r="A44" s="155" t="s">
        <v>73</v>
      </c>
      <c r="B44" s="155"/>
      <c r="C44" s="155"/>
      <c r="D44" s="159" t="s">
        <v>33</v>
      </c>
      <c r="E44" s="155"/>
      <c r="F44" s="155"/>
      <c r="G44" s="155" t="s">
        <v>50</v>
      </c>
      <c r="H44" s="155"/>
      <c r="I44" s="155"/>
      <c r="J44" s="159" t="s">
        <v>23</v>
      </c>
      <c r="K44" s="155"/>
      <c r="L44" s="155"/>
      <c r="M44" s="216" t="s">
        <v>66</v>
      </c>
      <c r="N44" s="216"/>
      <c r="O44" s="183" t="s">
        <v>69</v>
      </c>
      <c r="P44" s="180">
        <f>'Detailed Analysis'!H314</f>
        <v>-15.42</v>
      </c>
      <c r="Q44" s="170" t="str">
        <f>'Detailed Analysis'!F336</f>
        <v>FAIL</v>
      </c>
    </row>
    <row r="45" spans="1:17" ht="15" x14ac:dyDescent="0.25">
      <c r="A45" s="160" t="s">
        <v>344</v>
      </c>
      <c r="B45" s="161"/>
      <c r="C45" s="161"/>
      <c r="D45" s="162">
        <f>'Detailed Analysis'!I73</f>
        <v>0</v>
      </c>
      <c r="E45" s="155"/>
      <c r="F45" s="155"/>
      <c r="G45" s="160" t="s">
        <v>345</v>
      </c>
      <c r="H45" s="161"/>
      <c r="I45" s="161"/>
      <c r="J45" s="162">
        <f>'Detailed Analysis'!I188</f>
        <v>4</v>
      </c>
      <c r="K45" s="155"/>
      <c r="L45" s="155"/>
      <c r="M45" s="155"/>
      <c r="N45" s="155"/>
      <c r="O45" s="155"/>
      <c r="P45" s="155"/>
      <c r="Q45" s="155"/>
    </row>
    <row r="46" spans="1:17" ht="15.75" thickBot="1" x14ac:dyDescent="0.25">
      <c r="A46" s="155"/>
      <c r="B46" s="155"/>
      <c r="C46" s="155"/>
      <c r="D46" s="155"/>
      <c r="E46" s="155"/>
      <c r="F46" s="155"/>
      <c r="G46" s="155"/>
      <c r="H46" s="155"/>
      <c r="I46" s="155"/>
      <c r="J46" s="155"/>
      <c r="K46" s="155"/>
      <c r="L46" s="155"/>
      <c r="M46" s="189" t="s">
        <v>348</v>
      </c>
      <c r="N46" s="190"/>
      <c r="O46" s="190"/>
      <c r="P46" s="190"/>
      <c r="Q46" s="191"/>
    </row>
    <row r="47" spans="1:17" ht="15.75" thickTop="1" x14ac:dyDescent="0.25">
      <c r="A47" s="156" t="s">
        <v>208</v>
      </c>
      <c r="B47" s="155"/>
      <c r="C47" s="155"/>
      <c r="D47" s="155"/>
      <c r="E47" s="155"/>
      <c r="F47" s="155"/>
      <c r="G47" s="156" t="s">
        <v>219</v>
      </c>
      <c r="H47" s="155"/>
      <c r="I47" s="155"/>
      <c r="J47" s="155"/>
      <c r="K47" s="155"/>
      <c r="L47" s="155"/>
      <c r="M47" s="194"/>
      <c r="N47" s="195"/>
      <c r="O47" s="195"/>
      <c r="P47" s="195"/>
      <c r="Q47" s="196"/>
    </row>
    <row r="48" spans="1:17" ht="14.25" x14ac:dyDescent="0.2">
      <c r="A48" s="155" t="s">
        <v>36</v>
      </c>
      <c r="B48" s="155"/>
      <c r="C48" s="155"/>
      <c r="D48" s="159">
        <v>1</v>
      </c>
      <c r="E48" s="155"/>
      <c r="F48" s="155"/>
      <c r="G48" s="155" t="s">
        <v>51</v>
      </c>
      <c r="H48" s="155"/>
      <c r="I48" s="155"/>
      <c r="J48" s="159" t="s">
        <v>31</v>
      </c>
      <c r="K48" s="155"/>
      <c r="L48" s="155"/>
      <c r="M48" s="197"/>
      <c r="N48" s="198"/>
      <c r="O48" s="198"/>
      <c r="P48" s="198"/>
      <c r="Q48" s="199"/>
    </row>
    <row r="49" spans="1:17" ht="14.25" x14ac:dyDescent="0.2">
      <c r="A49" s="155" t="s">
        <v>38</v>
      </c>
      <c r="B49" s="155"/>
      <c r="C49" s="155"/>
      <c r="D49" s="159" t="s">
        <v>39</v>
      </c>
      <c r="E49" s="155"/>
      <c r="F49" s="155"/>
      <c r="G49" s="208" t="s">
        <v>87</v>
      </c>
      <c r="H49" s="208"/>
      <c r="I49" s="208"/>
      <c r="J49" s="205" t="s">
        <v>23</v>
      </c>
      <c r="K49" s="155"/>
      <c r="L49" s="155"/>
      <c r="M49" s="197"/>
      <c r="N49" s="198"/>
      <c r="O49" s="198"/>
      <c r="P49" s="198"/>
      <c r="Q49" s="199"/>
    </row>
    <row r="50" spans="1:17" ht="14.25" x14ac:dyDescent="0.2">
      <c r="A50" s="175" t="s">
        <v>37</v>
      </c>
      <c r="B50" s="155"/>
      <c r="C50" s="155"/>
      <c r="D50" s="180" t="str">
        <f>'Detailed Analysis'!C86</f>
        <v>N/A</v>
      </c>
      <c r="E50" s="155"/>
      <c r="F50" s="155"/>
      <c r="G50" s="208"/>
      <c r="H50" s="208"/>
      <c r="I50" s="208"/>
      <c r="J50" s="205"/>
      <c r="K50" s="155"/>
      <c r="L50" s="155"/>
      <c r="M50" s="197"/>
      <c r="N50" s="198"/>
      <c r="O50" s="198"/>
      <c r="P50" s="198"/>
      <c r="Q50" s="199"/>
    </row>
    <row r="51" spans="1:17" ht="14.25" x14ac:dyDescent="0.2">
      <c r="A51" s="185" t="s">
        <v>40</v>
      </c>
      <c r="B51" s="155"/>
      <c r="C51" s="155"/>
      <c r="D51" s="180">
        <f>'Detailed Analysis'!C85</f>
        <v>2.2000000000000002</v>
      </c>
      <c r="E51" s="155"/>
      <c r="F51" s="155"/>
      <c r="G51" s="204" t="s">
        <v>88</v>
      </c>
      <c r="H51" s="204"/>
      <c r="I51" s="204"/>
      <c r="J51" s="205" t="s">
        <v>23</v>
      </c>
      <c r="K51" s="155"/>
      <c r="L51" s="155"/>
      <c r="M51" s="197"/>
      <c r="N51" s="198"/>
      <c r="O51" s="198"/>
      <c r="P51" s="198"/>
      <c r="Q51" s="199"/>
    </row>
    <row r="52" spans="1:17" ht="15" x14ac:dyDescent="0.25">
      <c r="A52" s="192" t="s">
        <v>209</v>
      </c>
      <c r="B52" s="155"/>
      <c r="C52" s="155"/>
      <c r="D52" s="171" t="str">
        <f>'Detailed Analysis'!C87</f>
        <v>N/A</v>
      </c>
      <c r="E52" s="155"/>
      <c r="F52" s="155"/>
      <c r="G52" s="204"/>
      <c r="H52" s="204"/>
      <c r="I52" s="204"/>
      <c r="J52" s="205"/>
      <c r="K52" s="155"/>
      <c r="L52" s="155"/>
      <c r="M52" s="197"/>
      <c r="N52" s="198"/>
      <c r="O52" s="198"/>
      <c r="P52" s="198"/>
      <c r="Q52" s="199"/>
    </row>
    <row r="53" spans="1:17" ht="12.75" customHeight="1" thickBot="1" x14ac:dyDescent="0.3">
      <c r="A53" s="193" t="s">
        <v>344</v>
      </c>
      <c r="B53" s="161"/>
      <c r="C53" s="161"/>
      <c r="D53" s="162">
        <f>'Detailed Analysis'!I89</f>
        <v>2</v>
      </c>
      <c r="E53" s="155"/>
      <c r="F53" s="155"/>
      <c r="G53" s="160" t="s">
        <v>346</v>
      </c>
      <c r="H53" s="161"/>
      <c r="I53" s="161"/>
      <c r="J53" s="162">
        <f>'Detailed Analysis'!I202</f>
        <v>-10</v>
      </c>
      <c r="K53" s="155"/>
      <c r="L53" s="155"/>
      <c r="M53" s="200"/>
      <c r="N53" s="201"/>
      <c r="O53" s="201"/>
      <c r="P53" s="201"/>
      <c r="Q53" s="202"/>
    </row>
    <row r="54" spans="1:17" ht="13.5" thickTop="1" x14ac:dyDescent="0.2"/>
    <row r="56" spans="1:17" x14ac:dyDescent="0.2">
      <c r="I56" s="145"/>
    </row>
    <row r="64" spans="1:17" ht="12.75" customHeight="1" x14ac:dyDescent="0.2"/>
    <row r="127" spans="6:6" x14ac:dyDescent="0.2">
      <c r="F127" s="144"/>
    </row>
  </sheetData>
  <sheetProtection algorithmName="SHA-512" hashValue="nX2FShwXYWac8ZIHMHvDcs0uXqKEF6XgiTC/A8mTiSwjdp6+Zgy/p7ZyuuDTMC8RT0lihFouCi1Gze6kXZM7IA==" saltValue="0zuqMVFbraQG6EAiZ+9gVg==" spinCount="100000" sheet="1" objects="1" scenarios="1"/>
  <customSheetViews>
    <customSheetView guid="{7EDFBFC4-878A-41F6-83F0-E826CB53041F}">
      <pageMargins left="0.75" right="0.75" top="1" bottom="1" header="0.5" footer="0.5"/>
      <headerFooter alignWithMargins="0"/>
    </customSheetView>
  </customSheetViews>
  <mergeCells count="33">
    <mergeCell ref="M42:N42"/>
    <mergeCell ref="M43:N43"/>
    <mergeCell ref="M44:N44"/>
    <mergeCell ref="A13:C13"/>
    <mergeCell ref="A22:C22"/>
    <mergeCell ref="A21:C21"/>
    <mergeCell ref="A23:C23"/>
    <mergeCell ref="A14:C14"/>
    <mergeCell ref="A16:C16"/>
    <mergeCell ref="J49:J50"/>
    <mergeCell ref="A25:C25"/>
    <mergeCell ref="A26:C26"/>
    <mergeCell ref="A27:C27"/>
    <mergeCell ref="G36:I39"/>
    <mergeCell ref="J36:J39"/>
    <mergeCell ref="G49:I50"/>
    <mergeCell ref="A28:C28"/>
    <mergeCell ref="M47:Q53"/>
    <mergeCell ref="A1:D1"/>
    <mergeCell ref="G51:I52"/>
    <mergeCell ref="J51:J52"/>
    <mergeCell ref="A36:C36"/>
    <mergeCell ref="M12:O13"/>
    <mergeCell ref="P12:P13"/>
    <mergeCell ref="M15:O16"/>
    <mergeCell ref="P15:P16"/>
    <mergeCell ref="A24:C24"/>
    <mergeCell ref="A10:C10"/>
    <mergeCell ref="A17:C17"/>
    <mergeCell ref="A8:C8"/>
    <mergeCell ref="A9:C9"/>
    <mergeCell ref="A12:C12"/>
    <mergeCell ref="A11:C11"/>
  </mergeCells>
  <phoneticPr fontId="0" type="noConversion"/>
  <conditionalFormatting sqref="Q42:Q44">
    <cfRule type="cellIs" dxfId="22" priority="2" operator="equal">
      <formula>"FAIL"</formula>
    </cfRule>
  </conditionalFormatting>
  <conditionalFormatting sqref="A1:Q41 A45:Q53 A42:M44 O42:Q44">
    <cfRule type="cellIs" dxfId="21" priority="1" operator="equal">
      <formula>"ERROR"</formula>
    </cfRule>
  </conditionalFormatting>
  <dataValidations xWindow="116" yWindow="422" count="12">
    <dataValidation type="list" allowBlank="1" showInputMessage="1" showErrorMessage="1" sqref="J4 J20 D40" xr:uid="{00000000-0002-0000-0000-000000000000}">
      <formula1>Categories3</formula1>
    </dataValidation>
    <dataValidation type="list" allowBlank="1" showInputMessage="1" showErrorMessage="1" sqref="J12 J35 P8 D44" xr:uid="{00000000-0002-0000-0000-000001000000}">
      <formula1>Categories2</formula1>
    </dataValidation>
    <dataValidation type="list" allowBlank="1" showInputMessage="1" showErrorMessage="1" sqref="P4 J16 J8" xr:uid="{00000000-0002-0000-0000-000002000000}">
      <formula1>Categories4</formula1>
    </dataValidation>
    <dataValidation type="list" allowBlank="1" showInputMessage="1" showErrorMessage="1" sqref="J48 J43 P20 P25 P28 P31" xr:uid="{00000000-0002-0000-0000-000003000000}">
      <formula1>Categories1</formula1>
    </dataValidation>
    <dataValidation type="list" allowBlank="1" showErrorMessage="1" promptTitle="Construction Type" prompt="Select the type of construction for the existing buidling from Chapter 6 of the NCBC.  If the evaluation involves an addition select the lesser of the types of construction for the existing building and the addition.   " sqref="D5" xr:uid="{00000000-0002-0000-0000-000004000000}">
      <formula1>ConstructionType</formula1>
    </dataValidation>
    <dataValidation type="list" allowBlank="1" showInputMessage="1" showErrorMessage="1" sqref="P12:P13 H30 J44 J36 J49:J53" xr:uid="{00000000-0002-0000-0000-000005000000}">
      <formula1>YesNo</formula1>
    </dataValidation>
    <dataValidation type="list" allowBlank="1" showInputMessage="1" showErrorMessage="1" sqref="D49" xr:uid="{00000000-0002-0000-0000-000006000000}">
      <formula1>VOProtection</formula1>
    </dataValidation>
    <dataValidation type="list" allowBlank="1" showInputMessage="1" showErrorMessage="1" sqref="P14" xr:uid="{00000000-0002-0000-0000-000007000000}">
      <formula1>IncProtectionProv</formula1>
    </dataValidation>
    <dataValidation type="list" allowBlank="1" showErrorMessage="1" promptTitle="Occupancy" prompt="Select the occupancy classification proposed in accordance with Chapter 3 of the North Carolina State Building Code" sqref="D4" xr:uid="{00000000-0002-0000-0000-000008000000}">
      <formula1>Occupancies</formula1>
    </dataValidation>
    <dataValidation type="list" allowBlank="1" showInputMessage="1" showErrorMessage="1" sqref="P15:P16" xr:uid="{00000000-0002-0000-0000-000009000000}">
      <formula1>IncProtectionReqd</formula1>
    </dataValidation>
    <dataValidation type="list" allowBlank="1" showErrorMessage="1" promptTitle="Sprinkler System" prompt="NFPA 13 - The entire building has a compliant NFPA 13 system installed. _x000a_NFPA 13R - The entire building has a complianct NFPA 13R system installed. _x000a_No - The building has no sprinkler system or a partial automatic fire suppression system is installed. _x000a_" sqref="D6" xr:uid="{89A2FC46-9998-4C93-96F2-DAB8D4D0497E}">
      <formula1>SprinklerSystem</formula1>
    </dataValidation>
    <dataValidation type="list" allowBlank="1" showErrorMessage="1" promptTitle="Mixed" prompt="Answering &quot;Yes&quot; means the mixed occupancies are separated by one of the qualifying categories._x000a__x000a_Answering &quot;No&quot; requries a separate evaluation for each occupancy and the lower score for each occupancy for each section shall apply to the entire building." sqref="J51:J52" xr:uid="{BA3BF997-DA4F-4E03-BC44-DFA5F5B3464F}">
      <formula1>YesNo</formula1>
    </dataValidation>
  </dataValidations>
  <pageMargins left="0.7" right="0.7" top="0.75" bottom="0.75" header="0.3" footer="0.3"/>
  <pageSetup scale="61" pageOrder="overThenDown" orientation="landscape" r:id="rId1"/>
  <headerFooter alignWithMargins="0">
    <oddFooter>&amp;C
2018 NCEBC Chapter 14 Evaluation Inputs
&amp;RRev. June 17, 2020</oddFooter>
  </headerFooter>
  <legacyDrawing r:id="rId2"/>
  <extLst>
    <ext xmlns:x14="http://schemas.microsoft.com/office/spreadsheetml/2009/9/main" uri="{CCE6A557-97BC-4b89-ADB6-D9C93CAAB3DF}">
      <x14:dataValidations xmlns:xm="http://schemas.microsoft.com/office/excel/2006/main" xWindow="116" yWindow="422" count="1">
        <x14:dataValidation type="list" allowBlank="1" showInputMessage="1" showErrorMessage="1" xr:uid="{F8E07523-BEAF-4907-8D80-2B5C81BD72EC}">
          <x14:formula1>
            <xm:f>'Detailed Analysis'!$N$29:$N$32</xm:f>
          </x14:formula1>
          <xm:sqref>J30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J337"/>
  <sheetViews>
    <sheetView showGridLines="0" zoomScale="160" zoomScaleNormal="160" zoomScaleSheetLayoutView="55" workbookViewId="0">
      <selection activeCell="B27" sqref="B27"/>
    </sheetView>
  </sheetViews>
  <sheetFormatPr defaultRowHeight="12.75" x14ac:dyDescent="0.2"/>
  <cols>
    <col min="1" max="1" width="25.140625" customWidth="1"/>
    <col min="3" max="3" width="10" bestFit="1" customWidth="1"/>
    <col min="4" max="9" width="10" customWidth="1"/>
    <col min="10" max="11" width="10" hidden="1" customWidth="1"/>
    <col min="12" max="12" width="12.5703125" hidden="1" customWidth="1"/>
    <col min="13" max="13" width="14.85546875" hidden="1" customWidth="1"/>
    <col min="14" max="14" width="15.28515625" hidden="1" customWidth="1"/>
    <col min="15" max="15" width="18.42578125" hidden="1" customWidth="1"/>
    <col min="16" max="16" width="13.7109375" hidden="1" customWidth="1"/>
    <col min="17" max="17" width="12.140625" hidden="1" customWidth="1"/>
    <col min="18" max="18" width="16.140625" hidden="1" customWidth="1"/>
    <col min="19" max="19" width="12.5703125" hidden="1" customWidth="1"/>
    <col min="20" max="20" width="17.5703125" hidden="1" customWidth="1"/>
    <col min="21" max="21" width="8.7109375" hidden="1" customWidth="1"/>
    <col min="22" max="30" width="8.85546875" hidden="1" customWidth="1"/>
    <col min="31" max="31" width="11.140625" hidden="1" customWidth="1"/>
    <col min="32" max="32" width="12.85546875" hidden="1" customWidth="1"/>
    <col min="33" max="33" width="15.140625" hidden="1" customWidth="1"/>
    <col min="34" max="34" width="12.140625" style="71" hidden="1" customWidth="1"/>
    <col min="35" max="35" width="12.28515625" style="2" hidden="1" customWidth="1"/>
    <col min="36" max="36" width="11.5703125" hidden="1" customWidth="1"/>
    <col min="37" max="37" width="17.42578125" bestFit="1" customWidth="1"/>
    <col min="38" max="38" width="12.5703125" bestFit="1" customWidth="1"/>
    <col min="39" max="39" width="11.5703125" bestFit="1" customWidth="1"/>
    <col min="40" max="40" width="13.140625" customWidth="1"/>
  </cols>
  <sheetData>
    <row r="1" spans="1:35" ht="12.75" customHeight="1" x14ac:dyDescent="0.25">
      <c r="L1" s="219" t="s">
        <v>305</v>
      </c>
      <c r="M1" s="218" t="s">
        <v>24</v>
      </c>
      <c r="N1" s="218" t="s">
        <v>306</v>
      </c>
      <c r="O1" s="218" t="s">
        <v>309</v>
      </c>
      <c r="R1" s="217" t="s">
        <v>312</v>
      </c>
      <c r="S1" s="217"/>
      <c r="T1" s="217"/>
      <c r="U1" s="217"/>
      <c r="AE1" s="73"/>
      <c r="AH1"/>
      <c r="AI1"/>
    </row>
    <row r="2" spans="1:35" ht="12.75" customHeight="1" x14ac:dyDescent="0.2">
      <c r="A2" s="40" t="s">
        <v>223</v>
      </c>
      <c r="B2" s="41"/>
      <c r="C2" s="41"/>
      <c r="L2" s="219"/>
      <c r="M2" s="218"/>
      <c r="N2" s="218"/>
      <c r="O2" s="218"/>
      <c r="R2" s="2" t="s">
        <v>313</v>
      </c>
      <c r="T2" t="str">
        <f>IF(OR(B6="A1",B6="A2",B6="A3",B6="A4",B6="A5"),"A",(IF(OR(B6="R1",B6="R2",B6="R3",B6="R4"),"R",(IF(OR(B6="S1",B6="S2"),"S",(IF(OR(B6="F1",B6="F2"),"F",B6)))))))</f>
        <v>R</v>
      </c>
      <c r="AH2"/>
      <c r="AI2"/>
    </row>
    <row r="3" spans="1:35" ht="12.75" customHeight="1" x14ac:dyDescent="0.2">
      <c r="L3" s="219"/>
      <c r="M3" s="218"/>
      <c r="N3" s="218"/>
      <c r="O3" s="218"/>
      <c r="S3" s="2"/>
      <c r="T3" s="6" t="s">
        <v>1</v>
      </c>
      <c r="U3" s="6" t="s">
        <v>2</v>
      </c>
      <c r="V3" s="6" t="s">
        <v>3</v>
      </c>
      <c r="W3" s="6" t="s">
        <v>5</v>
      </c>
      <c r="X3" s="6" t="s">
        <v>4</v>
      </c>
      <c r="Y3" s="6" t="s">
        <v>6</v>
      </c>
      <c r="Z3" s="3">
        <v>4</v>
      </c>
      <c r="AA3" s="6" t="s">
        <v>7</v>
      </c>
      <c r="AB3" s="6" t="s">
        <v>8</v>
      </c>
      <c r="AH3"/>
      <c r="AI3"/>
    </row>
    <row r="4" spans="1:35" ht="12.75" customHeight="1" x14ac:dyDescent="0.2">
      <c r="A4" s="4" t="s">
        <v>224</v>
      </c>
      <c r="L4" s="219"/>
      <c r="M4" s="218"/>
      <c r="N4" s="218"/>
      <c r="O4" s="218"/>
      <c r="R4" s="2" t="s">
        <v>324</v>
      </c>
      <c r="S4" s="3"/>
      <c r="T4" s="6" t="s">
        <v>75</v>
      </c>
      <c r="U4" s="3">
        <v>160</v>
      </c>
      <c r="V4" s="3">
        <v>65</v>
      </c>
      <c r="W4" s="3">
        <v>55</v>
      </c>
      <c r="X4" s="3">
        <v>65</v>
      </c>
      <c r="Y4" s="3">
        <v>55</v>
      </c>
      <c r="Z4" s="3">
        <v>65</v>
      </c>
      <c r="AA4" s="3">
        <v>50</v>
      </c>
      <c r="AB4" s="3">
        <v>40</v>
      </c>
      <c r="AH4"/>
      <c r="AI4"/>
    </row>
    <row r="5" spans="1:35" ht="12.75" customHeight="1" x14ac:dyDescent="0.2">
      <c r="L5" s="219"/>
      <c r="M5" s="218"/>
      <c r="N5" s="218"/>
      <c r="O5" s="218"/>
      <c r="R5" s="2" t="s">
        <v>325</v>
      </c>
      <c r="S5" s="6" t="s">
        <v>11</v>
      </c>
      <c r="T5" s="6" t="s">
        <v>75</v>
      </c>
      <c r="U5" s="6">
        <v>5</v>
      </c>
      <c r="V5" s="3">
        <v>3</v>
      </c>
      <c r="W5" s="3">
        <v>2</v>
      </c>
      <c r="X5" s="3">
        <v>3</v>
      </c>
      <c r="Y5" s="3">
        <v>2</v>
      </c>
      <c r="Z5" s="3">
        <v>3</v>
      </c>
      <c r="AA5" s="3">
        <v>2</v>
      </c>
      <c r="AB5" s="3">
        <v>1</v>
      </c>
      <c r="AH5"/>
      <c r="AI5"/>
    </row>
    <row r="6" spans="1:35" ht="15" customHeight="1" x14ac:dyDescent="0.2">
      <c r="A6" s="2" t="s">
        <v>89</v>
      </c>
      <c r="B6" s="13" t="str">
        <f>Input!D4</f>
        <v>R1</v>
      </c>
      <c r="D6" s="2" t="s">
        <v>225</v>
      </c>
      <c r="G6" s="13">
        <f>ROUND(IF(B9="UL",10, IF(OR(B8="NFPA 13",B8="NFPA 13R"),((B10-B13)/12.5)*B15,((B9-B13)/12.5)*B15)),2)</f>
        <v>3.68</v>
      </c>
      <c r="L6" s="219"/>
      <c r="M6" s="218"/>
      <c r="N6" s="218"/>
      <c r="O6" s="218"/>
      <c r="S6" s="6" t="s">
        <v>10</v>
      </c>
      <c r="T6" s="6" t="s">
        <v>75</v>
      </c>
      <c r="U6" s="6">
        <v>11</v>
      </c>
      <c r="V6" s="3">
        <v>3</v>
      </c>
      <c r="W6" s="3">
        <v>2</v>
      </c>
      <c r="X6" s="3">
        <v>3</v>
      </c>
      <c r="Y6" s="3">
        <v>2</v>
      </c>
      <c r="Z6" s="3">
        <v>3</v>
      </c>
      <c r="AA6" s="3">
        <v>2</v>
      </c>
      <c r="AB6" s="3">
        <v>1</v>
      </c>
      <c r="AH6"/>
      <c r="AI6"/>
    </row>
    <row r="7" spans="1:35" x14ac:dyDescent="0.2">
      <c r="A7" s="2" t="s">
        <v>24</v>
      </c>
      <c r="B7" s="13" t="str">
        <f>Input!D5</f>
        <v>IIA</v>
      </c>
      <c r="D7" s="2" t="s">
        <v>202</v>
      </c>
      <c r="G7" s="13">
        <f>IF(B11="UL",10,IF(OR(B8="NFPA 13",B8="NFPA 13R"),(B12-B14)*B15,(B11-B14)*B15))</f>
        <v>4</v>
      </c>
      <c r="L7" s="72" t="s">
        <v>22</v>
      </c>
      <c r="M7" s="50" t="s">
        <v>314</v>
      </c>
      <c r="N7" s="50" t="s">
        <v>11</v>
      </c>
      <c r="O7" s="50" t="s">
        <v>275</v>
      </c>
      <c r="S7" s="6" t="s">
        <v>14</v>
      </c>
      <c r="T7" s="6" t="s">
        <v>75</v>
      </c>
      <c r="U7" s="6">
        <v>11</v>
      </c>
      <c r="V7" s="3">
        <v>3</v>
      </c>
      <c r="W7" s="3">
        <v>2</v>
      </c>
      <c r="X7" s="3">
        <v>3</v>
      </c>
      <c r="Y7" s="3">
        <v>2</v>
      </c>
      <c r="Z7" s="3">
        <v>3</v>
      </c>
      <c r="AA7" s="3">
        <v>2</v>
      </c>
      <c r="AB7" s="3">
        <v>1</v>
      </c>
      <c r="AH7"/>
      <c r="AI7"/>
    </row>
    <row r="8" spans="1:35" x14ac:dyDescent="0.2">
      <c r="A8" s="2" t="s">
        <v>90</v>
      </c>
      <c r="B8" s="13" t="str">
        <f>Input!D6</f>
        <v>NFPA 13</v>
      </c>
      <c r="C8" s="3"/>
      <c r="L8" s="72" t="s">
        <v>23</v>
      </c>
      <c r="M8" s="50" t="s">
        <v>318</v>
      </c>
      <c r="N8" s="50" t="s">
        <v>10</v>
      </c>
      <c r="O8" s="50" t="s">
        <v>276</v>
      </c>
      <c r="S8" s="6" t="s">
        <v>15</v>
      </c>
      <c r="T8" s="6" t="s">
        <v>75</v>
      </c>
      <c r="U8" s="6">
        <v>11</v>
      </c>
      <c r="V8" s="3">
        <v>3</v>
      </c>
      <c r="W8" s="3">
        <v>2</v>
      </c>
      <c r="X8" s="3">
        <v>3</v>
      </c>
      <c r="Y8" s="3">
        <v>2</v>
      </c>
      <c r="Z8" s="3">
        <v>3</v>
      </c>
      <c r="AA8" s="3">
        <v>2</v>
      </c>
      <c r="AB8" s="3">
        <v>1</v>
      </c>
      <c r="AH8"/>
      <c r="AI8"/>
    </row>
    <row r="9" spans="1:35" x14ac:dyDescent="0.2">
      <c r="A9" s="15" t="s">
        <v>91</v>
      </c>
      <c r="B9" s="13">
        <f>IF(AND(T2="R",B8="NFPA 13R"),"60",VLOOKUP(B7,S53:T61,2,FALSE))</f>
        <v>65</v>
      </c>
      <c r="L9" s="48"/>
      <c r="M9" s="50" t="s">
        <v>319</v>
      </c>
      <c r="N9" s="50" t="s">
        <v>14</v>
      </c>
      <c r="O9" s="50" t="s">
        <v>277</v>
      </c>
      <c r="S9" s="6" t="s">
        <v>326</v>
      </c>
      <c r="T9" s="6" t="s">
        <v>75</v>
      </c>
      <c r="U9" s="6" t="s">
        <v>75</v>
      </c>
      <c r="V9" s="6" t="s">
        <v>75</v>
      </c>
      <c r="W9" s="6" t="s">
        <v>75</v>
      </c>
      <c r="X9" s="6" t="s">
        <v>75</v>
      </c>
      <c r="Y9" s="6" t="s">
        <v>75</v>
      </c>
      <c r="Z9" s="6" t="s">
        <v>75</v>
      </c>
      <c r="AA9" s="6" t="s">
        <v>75</v>
      </c>
      <c r="AB9" s="6" t="s">
        <v>75</v>
      </c>
      <c r="AH9"/>
      <c r="AI9"/>
    </row>
    <row r="10" spans="1:35" x14ac:dyDescent="0.2">
      <c r="A10" s="2" t="s">
        <v>95</v>
      </c>
      <c r="B10" s="13">
        <f>IF(AND((B9="UL"),(B8&lt;&gt;"NFPA 13R")),"UL",IF(B8="NFPA 13",B9+20,IF(AND(B8="NFPA 13R",(B8="NFPA 13"),(OR(B6="R1",B6="R2",B6="R3",B6="R4"))),60,B9)))</f>
        <v>85</v>
      </c>
      <c r="L10" s="218" t="s">
        <v>310</v>
      </c>
      <c r="M10" s="50" t="s">
        <v>315</v>
      </c>
      <c r="N10" s="50" t="s">
        <v>15</v>
      </c>
      <c r="O10" s="50" t="s">
        <v>56</v>
      </c>
      <c r="S10" s="6" t="s">
        <v>16</v>
      </c>
      <c r="T10" s="6" t="s">
        <v>75</v>
      </c>
      <c r="U10" s="6">
        <v>11</v>
      </c>
      <c r="V10" s="3">
        <v>5</v>
      </c>
      <c r="W10" s="3">
        <v>3</v>
      </c>
      <c r="X10" s="3">
        <v>5</v>
      </c>
      <c r="Y10" s="3">
        <v>3</v>
      </c>
      <c r="Z10" s="3">
        <v>5</v>
      </c>
      <c r="AA10" s="6">
        <v>3</v>
      </c>
      <c r="AB10" s="6">
        <v>2</v>
      </c>
      <c r="AH10"/>
      <c r="AI10"/>
    </row>
    <row r="11" spans="1:35" x14ac:dyDescent="0.2">
      <c r="A11" s="15" t="s">
        <v>92</v>
      </c>
      <c r="B11" s="14">
        <f>VLOOKUP(B6,S5:AB22,W24,FALSE)</f>
        <v>4</v>
      </c>
      <c r="L11" s="218"/>
      <c r="M11" s="50" t="s">
        <v>316</v>
      </c>
      <c r="N11" s="50" t="s">
        <v>16</v>
      </c>
      <c r="O11" s="50" t="s">
        <v>280</v>
      </c>
      <c r="Q11" s="72"/>
      <c r="S11" s="6" t="s">
        <v>17</v>
      </c>
      <c r="T11" s="6" t="s">
        <v>75</v>
      </c>
      <c r="U11" s="6">
        <v>5</v>
      </c>
      <c r="V11" s="3">
        <v>3</v>
      </c>
      <c r="W11" s="3">
        <v>2</v>
      </c>
      <c r="X11" s="3">
        <v>3</v>
      </c>
      <c r="Y11" s="3">
        <v>2</v>
      </c>
      <c r="Z11" s="3">
        <v>3</v>
      </c>
      <c r="AA11" s="6">
        <v>1</v>
      </c>
      <c r="AB11" s="6">
        <v>1</v>
      </c>
      <c r="AH11"/>
      <c r="AI11"/>
    </row>
    <row r="12" spans="1:35" x14ac:dyDescent="0.2">
      <c r="A12" s="2" t="s">
        <v>96</v>
      </c>
      <c r="B12" s="13">
        <f>IF(AND(T2="R",B8="NFPA 13R"),VLOOKUP(B6,Z54:AI57,W24,FALSE),(IF(B11="UL","UL",IF(B8="NFPA 13",B11+1,(IF(AND(B8="NFPA 13R",(OR(B6="R1",B6="R2",B6="R3",B6="R4"))),B11+1,B11))))))</f>
        <v>5</v>
      </c>
      <c r="L12" s="218"/>
      <c r="M12" s="50" t="s">
        <v>317</v>
      </c>
      <c r="N12" s="50" t="s">
        <v>17</v>
      </c>
      <c r="O12" s="50" t="s">
        <v>278</v>
      </c>
      <c r="Q12" s="72"/>
      <c r="S12" s="6" t="s">
        <v>19</v>
      </c>
      <c r="T12" s="6" t="s">
        <v>75</v>
      </c>
      <c r="U12" s="6">
        <v>11</v>
      </c>
      <c r="V12" s="3">
        <v>4</v>
      </c>
      <c r="W12" s="3">
        <v>2</v>
      </c>
      <c r="X12" s="3">
        <v>3</v>
      </c>
      <c r="Y12" s="3">
        <v>2</v>
      </c>
      <c r="Z12" s="3">
        <v>4</v>
      </c>
      <c r="AA12" s="6">
        <v>2</v>
      </c>
      <c r="AB12" s="6">
        <v>1</v>
      </c>
      <c r="AH12"/>
      <c r="AI12"/>
    </row>
    <row r="13" spans="1:35" x14ac:dyDescent="0.2">
      <c r="A13" s="2" t="s">
        <v>93</v>
      </c>
      <c r="B13" s="13">
        <f>Input!D11</f>
        <v>39</v>
      </c>
      <c r="L13" s="218"/>
      <c r="M13" s="50" t="s">
        <v>320</v>
      </c>
      <c r="N13" s="50" t="s">
        <v>19</v>
      </c>
      <c r="O13" s="50" t="s">
        <v>279</v>
      </c>
      <c r="P13" s="71"/>
      <c r="Q13" s="72"/>
      <c r="S13" s="6" t="s">
        <v>20</v>
      </c>
      <c r="T13" s="6" t="s">
        <v>75</v>
      </c>
      <c r="U13" s="6">
        <v>11</v>
      </c>
      <c r="V13" s="3">
        <v>5</v>
      </c>
      <c r="W13" s="3">
        <v>3</v>
      </c>
      <c r="X13" s="3">
        <v>4</v>
      </c>
      <c r="Y13" s="3">
        <v>3</v>
      </c>
      <c r="Z13" s="3">
        <v>5</v>
      </c>
      <c r="AA13" s="6">
        <v>3</v>
      </c>
      <c r="AB13" s="6">
        <v>2</v>
      </c>
      <c r="AH13"/>
      <c r="AI13"/>
    </row>
    <row r="14" spans="1:35" ht="12.75" customHeight="1" x14ac:dyDescent="0.2">
      <c r="A14" s="2" t="s">
        <v>94</v>
      </c>
      <c r="B14" s="13">
        <f>Input!D13</f>
        <v>1</v>
      </c>
      <c r="L14" s="218"/>
      <c r="M14" s="50" t="s">
        <v>321</v>
      </c>
      <c r="N14" s="50" t="s">
        <v>20</v>
      </c>
      <c r="O14" s="71"/>
      <c r="P14" s="71"/>
      <c r="Q14" s="72"/>
      <c r="S14" s="6" t="s">
        <v>267</v>
      </c>
      <c r="T14" s="6" t="s">
        <v>75</v>
      </c>
      <c r="U14" s="6">
        <v>4</v>
      </c>
      <c r="V14" s="3">
        <v>2</v>
      </c>
      <c r="W14" s="3">
        <v>1</v>
      </c>
      <c r="X14" s="3">
        <v>1</v>
      </c>
      <c r="Y14" s="3" t="s">
        <v>145</v>
      </c>
      <c r="Z14" s="3">
        <v>1</v>
      </c>
      <c r="AA14" s="6">
        <v>1</v>
      </c>
      <c r="AB14" s="3" t="s">
        <v>145</v>
      </c>
      <c r="AH14"/>
      <c r="AI14"/>
    </row>
    <row r="15" spans="1:35" x14ac:dyDescent="0.2">
      <c r="A15" s="2" t="s">
        <v>0</v>
      </c>
      <c r="B15" s="13">
        <f>IF(OR(B9&gt;=B13,B9="UL"),1,VLOOKUP(B7,S66:T74,2,FALSE))</f>
        <v>1</v>
      </c>
      <c r="H15" s="1"/>
      <c r="L15" s="218"/>
      <c r="M15" s="50" t="s">
        <v>322</v>
      </c>
      <c r="N15" s="50" t="s">
        <v>267</v>
      </c>
      <c r="O15" s="218" t="s">
        <v>308</v>
      </c>
      <c r="P15" s="71"/>
      <c r="Q15" s="72"/>
      <c r="S15" s="6" t="s">
        <v>13</v>
      </c>
      <c r="T15" s="6" t="s">
        <v>75</v>
      </c>
      <c r="U15" s="6">
        <v>11</v>
      </c>
      <c r="V15" s="3">
        <v>4</v>
      </c>
      <c r="W15" s="3">
        <v>2</v>
      </c>
      <c r="X15" s="3">
        <v>4</v>
      </c>
      <c r="Y15" s="3">
        <v>2</v>
      </c>
      <c r="Z15" s="3">
        <v>4</v>
      </c>
      <c r="AA15" s="6">
        <v>3</v>
      </c>
      <c r="AB15" s="6">
        <v>1</v>
      </c>
      <c r="AH15"/>
      <c r="AI15"/>
    </row>
    <row r="16" spans="1:35" ht="12.75" customHeight="1" x14ac:dyDescent="0.2">
      <c r="A16" s="16" t="s">
        <v>97</v>
      </c>
      <c r="B16" s="17"/>
      <c r="C16" s="17"/>
      <c r="D16" s="17"/>
      <c r="E16" s="17"/>
      <c r="F16" s="17"/>
      <c r="G16" s="17"/>
      <c r="H16" s="17"/>
      <c r="I16" s="46">
        <f>IF(MIN(G6:G7)&gt;10,10,MIN(G6:G7))</f>
        <v>3.68</v>
      </c>
      <c r="J16" s="42"/>
      <c r="K16" s="42"/>
      <c r="L16" s="72" t="s">
        <v>22</v>
      </c>
      <c r="M16" s="74"/>
      <c r="N16" s="50" t="s">
        <v>13</v>
      </c>
      <c r="O16" s="218"/>
      <c r="P16" s="71"/>
      <c r="Q16" s="72"/>
      <c r="S16" s="6" t="s">
        <v>77</v>
      </c>
      <c r="T16" s="6" t="s">
        <v>75</v>
      </c>
      <c r="U16" s="6">
        <v>11</v>
      </c>
      <c r="V16" s="3">
        <v>4</v>
      </c>
      <c r="W16" s="3">
        <v>4</v>
      </c>
      <c r="X16" s="3">
        <v>4</v>
      </c>
      <c r="Y16" s="3">
        <v>4</v>
      </c>
      <c r="Z16" s="3">
        <v>4</v>
      </c>
      <c r="AA16" s="6">
        <v>3</v>
      </c>
      <c r="AB16" s="6">
        <v>2</v>
      </c>
      <c r="AH16"/>
      <c r="AI16"/>
    </row>
    <row r="17" spans="1:35" x14ac:dyDescent="0.2">
      <c r="L17" s="72" t="s">
        <v>198</v>
      </c>
      <c r="M17" s="74"/>
      <c r="N17" s="50" t="s">
        <v>77</v>
      </c>
      <c r="O17" s="218"/>
      <c r="P17" s="71"/>
      <c r="Q17" s="72"/>
      <c r="S17" s="6" t="s">
        <v>76</v>
      </c>
      <c r="T17" s="6" t="s">
        <v>75</v>
      </c>
      <c r="U17" s="6">
        <v>11</v>
      </c>
      <c r="V17" s="3">
        <v>4</v>
      </c>
      <c r="W17" s="3">
        <v>4</v>
      </c>
      <c r="X17" s="3">
        <v>4</v>
      </c>
      <c r="Y17" s="3">
        <v>4</v>
      </c>
      <c r="Z17" s="3">
        <v>4</v>
      </c>
      <c r="AA17" s="6">
        <v>3</v>
      </c>
      <c r="AB17" s="6">
        <v>2</v>
      </c>
      <c r="AH17"/>
      <c r="AI17"/>
    </row>
    <row r="18" spans="1:35" x14ac:dyDescent="0.2">
      <c r="A18" s="4" t="s">
        <v>226</v>
      </c>
      <c r="L18" s="72" t="s">
        <v>199</v>
      </c>
      <c r="N18" s="50" t="s">
        <v>76</v>
      </c>
      <c r="O18" s="218"/>
      <c r="P18" s="71"/>
      <c r="Q18" s="72"/>
      <c r="S18" s="6" t="s">
        <v>78</v>
      </c>
      <c r="T18" s="6" t="s">
        <v>75</v>
      </c>
      <c r="U18" s="6">
        <v>11</v>
      </c>
      <c r="V18" s="3">
        <v>4</v>
      </c>
      <c r="W18" s="3">
        <v>4</v>
      </c>
      <c r="X18" s="3">
        <v>4</v>
      </c>
      <c r="Y18" s="3">
        <v>4</v>
      </c>
      <c r="Z18" s="3">
        <v>4</v>
      </c>
      <c r="AA18" s="6">
        <v>3</v>
      </c>
      <c r="AB18" s="6">
        <v>3</v>
      </c>
      <c r="AH18"/>
      <c r="AI18"/>
    </row>
    <row r="19" spans="1:35" x14ac:dyDescent="0.2">
      <c r="N19" s="50" t="s">
        <v>78</v>
      </c>
      <c r="O19" s="218"/>
      <c r="P19" s="71"/>
      <c r="Q19" s="72"/>
      <c r="S19" s="6" t="s">
        <v>79</v>
      </c>
      <c r="T19" s="6" t="s">
        <v>75</v>
      </c>
      <c r="U19" s="6">
        <v>11</v>
      </c>
      <c r="V19" s="3">
        <v>4</v>
      </c>
      <c r="W19" s="3">
        <v>4</v>
      </c>
      <c r="X19" s="3">
        <v>4</v>
      </c>
      <c r="Y19" s="3">
        <v>4</v>
      </c>
      <c r="Z19" s="3">
        <v>4</v>
      </c>
      <c r="AA19" s="6">
        <v>3</v>
      </c>
      <c r="AB19" s="6">
        <v>2</v>
      </c>
      <c r="AH19"/>
      <c r="AI19"/>
    </row>
    <row r="20" spans="1:35" x14ac:dyDescent="0.2">
      <c r="A20" s="2" t="s">
        <v>98</v>
      </c>
      <c r="B20" s="13">
        <f>Input!D21</f>
        <v>3600</v>
      </c>
      <c r="D20" s="2" t="s">
        <v>204</v>
      </c>
      <c r="F20" s="1">
        <f>IF(B26="UL",D330/2,ROUND((B26/1200)*(1-(B28/B26)),2))</f>
        <v>63.4</v>
      </c>
      <c r="L20" s="219" t="s">
        <v>132</v>
      </c>
      <c r="M20" s="218" t="s">
        <v>307</v>
      </c>
      <c r="N20" s="50" t="s">
        <v>79</v>
      </c>
      <c r="O20" s="218"/>
      <c r="P20" s="71"/>
      <c r="Q20" s="72"/>
      <c r="S20" s="6" t="s">
        <v>18</v>
      </c>
      <c r="T20" s="6" t="s">
        <v>75</v>
      </c>
      <c r="U20" s="6">
        <v>11</v>
      </c>
      <c r="V20" s="3">
        <v>4</v>
      </c>
      <c r="W20" s="3">
        <v>2</v>
      </c>
      <c r="X20" s="3">
        <v>3</v>
      </c>
      <c r="Y20" s="3">
        <v>2</v>
      </c>
      <c r="Z20" s="3">
        <v>4</v>
      </c>
      <c r="AA20" s="6">
        <v>3</v>
      </c>
      <c r="AB20" s="6">
        <v>1</v>
      </c>
      <c r="AH20"/>
      <c r="AI20"/>
    </row>
    <row r="21" spans="1:35" x14ac:dyDescent="0.2">
      <c r="A21" s="5" t="s">
        <v>99</v>
      </c>
      <c r="B21" s="13">
        <f>Input!D22</f>
        <v>1500</v>
      </c>
      <c r="L21" s="219"/>
      <c r="M21" s="218"/>
      <c r="N21" s="50" t="s">
        <v>18</v>
      </c>
      <c r="O21" s="50" t="s">
        <v>39</v>
      </c>
      <c r="P21" s="71"/>
      <c r="Q21" s="72"/>
      <c r="S21" s="6" t="s">
        <v>12</v>
      </c>
      <c r="T21" s="6" t="s">
        <v>75</v>
      </c>
      <c r="U21" s="6">
        <v>11</v>
      </c>
      <c r="V21" s="3">
        <v>5</v>
      </c>
      <c r="W21" s="3">
        <v>3</v>
      </c>
      <c r="X21" s="3">
        <v>4</v>
      </c>
      <c r="Y21" s="3">
        <v>3</v>
      </c>
      <c r="Z21" s="3">
        <v>5</v>
      </c>
      <c r="AA21" s="6">
        <v>4</v>
      </c>
      <c r="AB21" s="6">
        <v>2</v>
      </c>
      <c r="AH21"/>
      <c r="AI21"/>
    </row>
    <row r="22" spans="1:35" x14ac:dyDescent="0.2">
      <c r="A22" s="5" t="s">
        <v>100</v>
      </c>
      <c r="B22" s="13">
        <f>Input!D23</f>
        <v>30</v>
      </c>
      <c r="L22" s="219"/>
      <c r="M22" s="218"/>
      <c r="N22" s="50" t="s">
        <v>12</v>
      </c>
      <c r="O22" s="50" t="s">
        <v>56</v>
      </c>
      <c r="P22" s="71"/>
      <c r="Q22" s="72"/>
      <c r="S22" s="6" t="s">
        <v>327</v>
      </c>
      <c r="T22" s="6" t="s">
        <v>75</v>
      </c>
      <c r="U22" s="6">
        <v>5</v>
      </c>
      <c r="V22" s="3">
        <v>4</v>
      </c>
      <c r="W22" s="3">
        <v>2</v>
      </c>
      <c r="X22" s="3">
        <v>3</v>
      </c>
      <c r="Y22" s="3">
        <v>2</v>
      </c>
      <c r="Z22" s="3">
        <v>4</v>
      </c>
      <c r="AA22" s="6">
        <v>2</v>
      </c>
      <c r="AB22" s="6">
        <v>1</v>
      </c>
      <c r="AH22"/>
      <c r="AI22"/>
    </row>
    <row r="23" spans="1:35" ht="15.75" x14ac:dyDescent="0.3">
      <c r="A23" s="5" t="s">
        <v>102</v>
      </c>
      <c r="B23" s="13">
        <f>ROUND(IF(B22&lt;20,0,(IF(B22&lt;=30,(((B21/B20)-0.25)*(B22/30)), ((B21/B20)-0.25)))),2)</f>
        <v>0.17</v>
      </c>
      <c r="L23" s="219"/>
      <c r="M23" s="218"/>
      <c r="O23" s="50" t="s">
        <v>270</v>
      </c>
      <c r="P23" s="71"/>
      <c r="Q23" s="71"/>
      <c r="S23" s="6"/>
      <c r="AH23"/>
      <c r="AI23"/>
    </row>
    <row r="24" spans="1:35" ht="15.75" customHeight="1" x14ac:dyDescent="0.3">
      <c r="A24" s="5" t="s">
        <v>101</v>
      </c>
      <c r="B24" s="13">
        <f>IF(AND(B8="NFPA 13",B14&gt;1),2,IF(AND(B8="NFPA 13",B14=1),3,0))</f>
        <v>3</v>
      </c>
      <c r="L24" s="219"/>
      <c r="M24" s="218"/>
      <c r="N24" s="220" t="s">
        <v>311</v>
      </c>
      <c r="O24" s="50" t="s">
        <v>278</v>
      </c>
      <c r="R24" s="76" t="s">
        <v>328</v>
      </c>
      <c r="U24" t="s">
        <v>329</v>
      </c>
      <c r="W24">
        <f>VLOOKUP(B7,W53:X61,2,FALSE)</f>
        <v>4</v>
      </c>
      <c r="AH24"/>
      <c r="AI24"/>
    </row>
    <row r="25" spans="1:35" ht="15.75" x14ac:dyDescent="0.3">
      <c r="A25" s="5" t="s">
        <v>105</v>
      </c>
      <c r="B25" s="13">
        <f>VLOOKUP(B6,S26:AB45,W24,FALSE)</f>
        <v>24000</v>
      </c>
      <c r="L25" s="219"/>
      <c r="M25" s="218"/>
      <c r="N25" s="221"/>
      <c r="O25" s="50" t="s">
        <v>277</v>
      </c>
      <c r="R25" s="2" t="s">
        <v>330</v>
      </c>
      <c r="AH25"/>
      <c r="AI25"/>
    </row>
    <row r="26" spans="1:35" ht="15.75" x14ac:dyDescent="0.3">
      <c r="A26" s="5" t="s">
        <v>104</v>
      </c>
      <c r="B26" s="13">
        <f>IF(B25="UL","UL",(IF(B23&lt;0,B25,(1+B24+B23)*B25)))</f>
        <v>100080</v>
      </c>
      <c r="L26" s="50" t="s">
        <v>31</v>
      </c>
      <c r="M26" s="50" t="s">
        <v>39</v>
      </c>
      <c r="N26" s="221"/>
      <c r="O26" s="50" t="s">
        <v>57</v>
      </c>
      <c r="S26" s="3"/>
      <c r="T26" s="6" t="s">
        <v>1</v>
      </c>
      <c r="U26" s="6" t="s">
        <v>2</v>
      </c>
      <c r="V26" s="6" t="s">
        <v>3</v>
      </c>
      <c r="W26" s="6" t="s">
        <v>5</v>
      </c>
      <c r="X26" s="6" t="s">
        <v>4</v>
      </c>
      <c r="Y26" s="6" t="s">
        <v>6</v>
      </c>
      <c r="Z26" s="3">
        <v>4</v>
      </c>
      <c r="AA26" s="6" t="s">
        <v>7</v>
      </c>
      <c r="AB26" s="6" t="s">
        <v>8</v>
      </c>
      <c r="AH26"/>
      <c r="AI26"/>
    </row>
    <row r="27" spans="1:35" ht="15.75" x14ac:dyDescent="0.3">
      <c r="A27" s="5" t="s">
        <v>103</v>
      </c>
      <c r="B27" s="13">
        <f>IF(B25="UL","UL",B26*B14)</f>
        <v>100080</v>
      </c>
      <c r="L27" s="50" t="s">
        <v>32</v>
      </c>
      <c r="M27" s="50" t="s">
        <v>185</v>
      </c>
      <c r="N27" s="221"/>
      <c r="O27" s="50" t="s">
        <v>275</v>
      </c>
      <c r="S27" s="3"/>
      <c r="T27" s="6" t="s">
        <v>75</v>
      </c>
      <c r="U27" s="6" t="s">
        <v>75</v>
      </c>
      <c r="V27" s="3">
        <v>65</v>
      </c>
      <c r="W27" s="3">
        <v>55</v>
      </c>
      <c r="X27" s="3">
        <v>65</v>
      </c>
      <c r="Y27" s="3">
        <v>55</v>
      </c>
      <c r="Z27" s="3">
        <v>65</v>
      </c>
      <c r="AA27" s="3">
        <v>50</v>
      </c>
      <c r="AB27" s="3">
        <v>40</v>
      </c>
      <c r="AH27"/>
      <c r="AI27"/>
    </row>
    <row r="28" spans="1:35" ht="15.75" x14ac:dyDescent="0.3">
      <c r="A28" s="5" t="s">
        <v>265</v>
      </c>
      <c r="B28" s="13">
        <f>Input!D25</f>
        <v>24000</v>
      </c>
      <c r="L28" s="72" t="s">
        <v>33</v>
      </c>
      <c r="M28" s="50" t="s">
        <v>186</v>
      </c>
      <c r="N28" s="221"/>
      <c r="S28" s="6" t="s">
        <v>11</v>
      </c>
      <c r="T28" s="6" t="s">
        <v>75</v>
      </c>
      <c r="U28" s="6" t="s">
        <v>75</v>
      </c>
      <c r="V28" s="3">
        <v>15500</v>
      </c>
      <c r="W28" s="3">
        <v>8500</v>
      </c>
      <c r="X28" s="3">
        <v>14000</v>
      </c>
      <c r="Y28" s="3">
        <v>8500</v>
      </c>
      <c r="Z28" s="3">
        <v>15000</v>
      </c>
      <c r="AA28" s="3">
        <v>11500</v>
      </c>
      <c r="AB28" s="3">
        <v>5500</v>
      </c>
      <c r="AH28"/>
      <c r="AI28"/>
    </row>
    <row r="29" spans="1:35" x14ac:dyDescent="0.2">
      <c r="A29" s="18" t="s">
        <v>97</v>
      </c>
      <c r="B29" s="17"/>
      <c r="C29" s="17"/>
      <c r="D29" s="17"/>
      <c r="E29" s="17"/>
      <c r="F29" s="17"/>
      <c r="G29" s="17"/>
      <c r="H29" s="17"/>
      <c r="I29" s="47">
        <f>IF(B6="I2",0,IF(F20&lt;=D330/2,F20,D330/2))</f>
        <v>10.5</v>
      </c>
      <c r="J29" s="10"/>
      <c r="K29" s="10"/>
      <c r="L29" s="72" t="s">
        <v>34</v>
      </c>
      <c r="M29" s="50" t="s">
        <v>187</v>
      </c>
      <c r="N29" s="71"/>
      <c r="O29" s="70"/>
      <c r="S29" s="6" t="s">
        <v>10</v>
      </c>
      <c r="T29" s="6" t="s">
        <v>75</v>
      </c>
      <c r="U29" s="6" t="s">
        <v>75</v>
      </c>
      <c r="V29" s="3">
        <v>15500</v>
      </c>
      <c r="W29" s="3">
        <v>9500</v>
      </c>
      <c r="X29" s="3">
        <v>14000</v>
      </c>
      <c r="Y29" s="3">
        <v>9500</v>
      </c>
      <c r="Z29" s="3">
        <v>15000</v>
      </c>
      <c r="AA29" s="3">
        <v>11500</v>
      </c>
      <c r="AB29" s="3">
        <v>6000</v>
      </c>
      <c r="AH29"/>
      <c r="AI29"/>
    </row>
    <row r="30" spans="1:35" x14ac:dyDescent="0.2">
      <c r="L30" s="72" t="s">
        <v>35</v>
      </c>
      <c r="N30" s="72" t="s">
        <v>195</v>
      </c>
      <c r="S30" s="6" t="s">
        <v>14</v>
      </c>
      <c r="T30" s="6" t="s">
        <v>75</v>
      </c>
      <c r="U30" s="6" t="s">
        <v>75</v>
      </c>
      <c r="V30" s="3">
        <v>15500</v>
      </c>
      <c r="W30" s="3">
        <v>9500</v>
      </c>
      <c r="X30" s="3">
        <v>14000</v>
      </c>
      <c r="Y30" s="3">
        <v>9500</v>
      </c>
      <c r="Z30" s="3">
        <v>15000</v>
      </c>
      <c r="AA30" s="3">
        <v>11500</v>
      </c>
      <c r="AB30" s="3">
        <v>6000</v>
      </c>
      <c r="AH30"/>
      <c r="AI30"/>
    </row>
    <row r="31" spans="1:35" x14ac:dyDescent="0.2">
      <c r="A31" s="4" t="s">
        <v>227</v>
      </c>
      <c r="L31" s="72" t="s">
        <v>188</v>
      </c>
      <c r="N31" s="50" t="s">
        <v>196</v>
      </c>
      <c r="S31" s="6" t="s">
        <v>15</v>
      </c>
      <c r="T31" s="6" t="s">
        <v>75</v>
      </c>
      <c r="U31" s="6" t="s">
        <v>75</v>
      </c>
      <c r="V31" s="3">
        <v>15500</v>
      </c>
      <c r="W31" s="3">
        <v>9500</v>
      </c>
      <c r="X31" s="3">
        <v>14000</v>
      </c>
      <c r="Y31" s="3">
        <v>9500</v>
      </c>
      <c r="Z31" s="3">
        <v>15000</v>
      </c>
      <c r="AA31" s="3">
        <v>11500</v>
      </c>
      <c r="AB31" s="3">
        <v>6000</v>
      </c>
      <c r="AH31"/>
      <c r="AI31"/>
    </row>
    <row r="32" spans="1:35" x14ac:dyDescent="0.2">
      <c r="N32" s="72" t="s">
        <v>197</v>
      </c>
      <c r="S32" s="6" t="s">
        <v>326</v>
      </c>
      <c r="T32" s="6" t="s">
        <v>75</v>
      </c>
      <c r="U32" s="6" t="s">
        <v>75</v>
      </c>
      <c r="V32" s="6" t="s">
        <v>75</v>
      </c>
      <c r="W32" s="6" t="s">
        <v>75</v>
      </c>
      <c r="X32" s="6" t="s">
        <v>75</v>
      </c>
      <c r="Y32" s="6" t="s">
        <v>75</v>
      </c>
      <c r="Z32" s="6" t="s">
        <v>75</v>
      </c>
      <c r="AA32" s="6" t="s">
        <v>75</v>
      </c>
      <c r="AB32" s="6" t="s">
        <v>75</v>
      </c>
      <c r="AH32"/>
      <c r="AI32"/>
    </row>
    <row r="33" spans="1:35" x14ac:dyDescent="0.2">
      <c r="A33" s="232" t="s">
        <v>21</v>
      </c>
      <c r="B33" s="228"/>
      <c r="C33" s="222" t="s">
        <v>132</v>
      </c>
      <c r="D33" s="223"/>
      <c r="E33" s="223"/>
      <c r="F33" s="223"/>
      <c r="G33" s="224"/>
      <c r="S33" s="6" t="s">
        <v>16</v>
      </c>
      <c r="T33" s="6" t="s">
        <v>75</v>
      </c>
      <c r="U33" s="6" t="s">
        <v>75</v>
      </c>
      <c r="V33" s="3">
        <v>37500</v>
      </c>
      <c r="W33" s="3">
        <v>23000</v>
      </c>
      <c r="X33" s="3">
        <v>28500</v>
      </c>
      <c r="Y33" s="3">
        <v>19000</v>
      </c>
      <c r="Z33" s="3">
        <v>36000</v>
      </c>
      <c r="AA33" s="6">
        <v>18000</v>
      </c>
      <c r="AB33" s="6">
        <v>9000</v>
      </c>
      <c r="AH33"/>
      <c r="AI33"/>
    </row>
    <row r="34" spans="1:35" x14ac:dyDescent="0.2">
      <c r="A34" s="233"/>
      <c r="B34" s="234"/>
      <c r="C34" s="19" t="s">
        <v>109</v>
      </c>
      <c r="D34" s="19" t="s">
        <v>110</v>
      </c>
      <c r="E34" s="19" t="s">
        <v>111</v>
      </c>
      <c r="F34" s="19" t="s">
        <v>112</v>
      </c>
      <c r="G34" s="19" t="s">
        <v>113</v>
      </c>
      <c r="S34" s="6" t="s">
        <v>17</v>
      </c>
      <c r="T34" s="6" t="s">
        <v>75</v>
      </c>
      <c r="U34" s="6" t="s">
        <v>75</v>
      </c>
      <c r="V34" s="3">
        <v>26500</v>
      </c>
      <c r="W34" s="3">
        <v>14500</v>
      </c>
      <c r="X34" s="3">
        <v>23500</v>
      </c>
      <c r="Y34" s="3">
        <v>14500</v>
      </c>
      <c r="Z34" s="3">
        <v>25500</v>
      </c>
      <c r="AA34" s="6">
        <v>18500</v>
      </c>
      <c r="AB34" s="6">
        <v>9500</v>
      </c>
      <c r="AH34"/>
      <c r="AI34"/>
    </row>
    <row r="35" spans="1:35" x14ac:dyDescent="0.2">
      <c r="A35" s="35" t="s">
        <v>107</v>
      </c>
      <c r="B35" s="20" t="str">
        <f>IF(OR(B6="A1",B6="A3"),"Y","N")</f>
        <v>N</v>
      </c>
      <c r="C35" s="20">
        <v>0</v>
      </c>
      <c r="D35" s="20">
        <v>6</v>
      </c>
      <c r="E35" s="20">
        <v>10</v>
      </c>
      <c r="F35" s="20">
        <v>14</v>
      </c>
      <c r="G35" s="20">
        <v>18</v>
      </c>
      <c r="L35" s="79"/>
      <c r="M35" s="79"/>
      <c r="N35" s="79"/>
      <c r="O35" s="79"/>
      <c r="P35" s="79"/>
      <c r="S35" s="6" t="s">
        <v>19</v>
      </c>
      <c r="T35" s="6" t="s">
        <v>75</v>
      </c>
      <c r="U35" s="6" t="s">
        <v>75</v>
      </c>
      <c r="V35" s="3">
        <v>25000</v>
      </c>
      <c r="W35" s="3">
        <v>15500</v>
      </c>
      <c r="X35" s="3">
        <v>19000</v>
      </c>
      <c r="Y35" s="3">
        <v>12000</v>
      </c>
      <c r="Z35" s="3">
        <v>33500</v>
      </c>
      <c r="AA35" s="6">
        <v>14000</v>
      </c>
      <c r="AB35" s="6">
        <v>8500</v>
      </c>
      <c r="AH35"/>
      <c r="AI35"/>
    </row>
    <row r="36" spans="1:35" x14ac:dyDescent="0.2">
      <c r="A36" s="36" t="s">
        <v>10</v>
      </c>
      <c r="B36" s="20" t="str">
        <f>IF(B6="A2","Y","N")</f>
        <v>N</v>
      </c>
      <c r="C36" s="20">
        <v>0</v>
      </c>
      <c r="D36" s="20">
        <v>4</v>
      </c>
      <c r="E36" s="20">
        <v>10</v>
      </c>
      <c r="F36" s="20">
        <v>14</v>
      </c>
      <c r="G36" s="20">
        <v>18</v>
      </c>
      <c r="L36" s="80" t="s">
        <v>341</v>
      </c>
      <c r="M36" s="79"/>
      <c r="N36" s="80" t="s">
        <v>340</v>
      </c>
      <c r="O36" s="79"/>
      <c r="P36" s="79"/>
      <c r="S36" s="6" t="s">
        <v>20</v>
      </c>
      <c r="T36" s="6" t="s">
        <v>75</v>
      </c>
      <c r="U36" s="6" t="s">
        <v>75</v>
      </c>
      <c r="V36" s="3">
        <v>37500</v>
      </c>
      <c r="W36" s="3">
        <v>23000</v>
      </c>
      <c r="X36" s="3">
        <v>28500</v>
      </c>
      <c r="Y36" s="3">
        <v>18000</v>
      </c>
      <c r="Z36" s="3">
        <v>50500</v>
      </c>
      <c r="AA36" s="6">
        <v>21000</v>
      </c>
      <c r="AB36" s="6">
        <v>13000</v>
      </c>
      <c r="AH36"/>
      <c r="AI36"/>
    </row>
    <row r="37" spans="1:35" x14ac:dyDescent="0.2">
      <c r="A37" s="36" t="s">
        <v>106</v>
      </c>
      <c r="B37" s="20" t="str">
        <f>IF(OR(B6="A4",B6="B",B6="E",B6="S2"),"Y","N")</f>
        <v>N</v>
      </c>
      <c r="C37" s="20">
        <v>0</v>
      </c>
      <c r="D37" s="20">
        <v>5</v>
      </c>
      <c r="E37" s="20">
        <v>10</v>
      </c>
      <c r="F37" s="20">
        <v>15</v>
      </c>
      <c r="G37" s="20">
        <v>20</v>
      </c>
      <c r="L37" s="79">
        <f>ROUND(IF(B14&lt;N37,(B26+(B25*B23))*B14,((B26+(B25*B23))*N37)/B14),2)</f>
        <v>104160</v>
      </c>
      <c r="M37" s="79"/>
      <c r="N37" s="79">
        <f>IF(B8="NFPA 13", 4,3)</f>
        <v>4</v>
      </c>
      <c r="O37" s="79"/>
      <c r="P37">
        <f>IF(B11="UL","UL",IF(B8="NFPA 13",B11+1,(IF(AND(B8="NFPA 13R",(OR(B6="R1",B6="R2",B6="R3",B6="R4"))),B11+1,B11))))</f>
        <v>5</v>
      </c>
      <c r="S37" s="6" t="s">
        <v>267</v>
      </c>
      <c r="T37" s="6" t="s">
        <v>75</v>
      </c>
      <c r="U37" s="6" t="s">
        <v>75</v>
      </c>
      <c r="V37" s="3">
        <v>15000</v>
      </c>
      <c r="W37" s="3">
        <v>11000</v>
      </c>
      <c r="X37" s="3">
        <v>12000</v>
      </c>
      <c r="Y37" s="3" t="s">
        <v>145</v>
      </c>
      <c r="Z37" s="3">
        <v>12000</v>
      </c>
      <c r="AA37" s="6">
        <v>9500</v>
      </c>
      <c r="AB37" s="3" t="s">
        <v>145</v>
      </c>
      <c r="AH37"/>
      <c r="AI37"/>
    </row>
    <row r="38" spans="1:35" x14ac:dyDescent="0.2">
      <c r="A38" s="36" t="s">
        <v>108</v>
      </c>
      <c r="B38" s="20" t="str">
        <f>IF(OR(B6="F1",B6="F2",B6="M",B6="R1",B6="R2",B6="R3", B6="R4",B6="S1"),"Y","N")</f>
        <v>Y</v>
      </c>
      <c r="C38" s="20">
        <v>0</v>
      </c>
      <c r="D38" s="20">
        <v>4</v>
      </c>
      <c r="E38" s="20">
        <v>10</v>
      </c>
      <c r="F38" s="20">
        <v>16</v>
      </c>
      <c r="G38" s="20">
        <v>22</v>
      </c>
      <c r="S38" s="6" t="s">
        <v>13</v>
      </c>
      <c r="T38" s="6" t="s">
        <v>75</v>
      </c>
      <c r="U38" s="6" t="s">
        <v>75</v>
      </c>
      <c r="V38" s="3">
        <v>21500</v>
      </c>
      <c r="W38" s="3">
        <v>12500</v>
      </c>
      <c r="X38" s="3">
        <v>18500</v>
      </c>
      <c r="Y38" s="3">
        <v>12500</v>
      </c>
      <c r="Z38" s="3">
        <v>20500</v>
      </c>
      <c r="AA38" s="6">
        <v>14000</v>
      </c>
      <c r="AB38" s="6">
        <v>9000</v>
      </c>
      <c r="AH38"/>
      <c r="AI38"/>
    </row>
    <row r="39" spans="1:35" x14ac:dyDescent="0.2">
      <c r="S39" s="6" t="s">
        <v>77</v>
      </c>
      <c r="T39" s="6" t="s">
        <v>75</v>
      </c>
      <c r="U39" s="6" t="s">
        <v>75</v>
      </c>
      <c r="V39" s="3">
        <v>24000</v>
      </c>
      <c r="W39" s="3">
        <v>16000</v>
      </c>
      <c r="X39" s="3">
        <v>24000</v>
      </c>
      <c r="Y39" s="3">
        <v>16000</v>
      </c>
      <c r="Z39" s="3">
        <v>20500</v>
      </c>
      <c r="AA39" s="6">
        <v>12000</v>
      </c>
      <c r="AB39" s="6">
        <v>7000</v>
      </c>
      <c r="AH39"/>
      <c r="AI39"/>
    </row>
    <row r="40" spans="1:35" x14ac:dyDescent="0.2">
      <c r="A40" s="2" t="s">
        <v>114</v>
      </c>
      <c r="C40" s="13">
        <f>Input!D34</f>
        <v>10001</v>
      </c>
      <c r="D40" s="9"/>
      <c r="L40" s="9" t="s">
        <v>117</v>
      </c>
      <c r="S40" s="6" t="s">
        <v>76</v>
      </c>
      <c r="T40" s="6" t="s">
        <v>75</v>
      </c>
      <c r="U40" s="6" t="s">
        <v>75</v>
      </c>
      <c r="V40" s="3">
        <v>24000</v>
      </c>
      <c r="W40" s="3">
        <v>16000</v>
      </c>
      <c r="X40" s="3">
        <v>24000</v>
      </c>
      <c r="Y40" s="3">
        <v>16000</v>
      </c>
      <c r="Z40" s="3">
        <v>20500</v>
      </c>
      <c r="AA40" s="6">
        <v>12000</v>
      </c>
      <c r="AB40" s="6">
        <v>7000</v>
      </c>
      <c r="AH40"/>
      <c r="AI40"/>
    </row>
    <row r="41" spans="1:35" x14ac:dyDescent="0.2">
      <c r="A41" s="2" t="s">
        <v>115</v>
      </c>
      <c r="C41" s="13" t="str">
        <f>IF((C40&gt;=10000),"a",(IF(AND((C40&lt;=10000),(C40&gt;7500)),"b",IF(AND((C40&lt;=7500),(C40&gt;5000)),"c",IF(AND((C40&lt;=5000),(C40&gt;2500)),"d",IF(AND((C40&lt;=2500),(C40&gt;=0)),"e"))))))</f>
        <v>a</v>
      </c>
      <c r="D41" s="55">
        <f>IF(C41="a",2,IF(C41="b",3,IF(C41="c",4,IF(C41="d",5,IF(C41="e",6,"N/A")))))</f>
        <v>2</v>
      </c>
      <c r="L41" s="12" t="e">
        <f>#VALUE!</f>
        <v>#VALUE!</v>
      </c>
      <c r="S41" s="6" t="s">
        <v>78</v>
      </c>
      <c r="T41" s="6" t="s">
        <v>75</v>
      </c>
      <c r="U41" s="6" t="s">
        <v>75</v>
      </c>
      <c r="V41" s="6" t="s">
        <v>75</v>
      </c>
      <c r="W41" s="6" t="s">
        <v>75</v>
      </c>
      <c r="X41" s="6" t="s">
        <v>75</v>
      </c>
      <c r="Y41" s="6" t="s">
        <v>75</v>
      </c>
      <c r="Z41" s="6" t="s">
        <v>75</v>
      </c>
      <c r="AA41" s="6" t="s">
        <v>75</v>
      </c>
      <c r="AB41" s="6" t="s">
        <v>75</v>
      </c>
      <c r="AH41"/>
      <c r="AI41"/>
    </row>
    <row r="42" spans="1:35" x14ac:dyDescent="0.2">
      <c r="A42" s="2" t="s">
        <v>116</v>
      </c>
      <c r="C42" s="13">
        <f>IF(B6="I2",0,ROUND(IF(D41="N/A",L41,VLOOKUP("Y",B34:G38,D41,FALSE)),2))</f>
        <v>0</v>
      </c>
      <c r="D42" s="3"/>
      <c r="E42" s="3"/>
      <c r="S42" s="6" t="s">
        <v>79</v>
      </c>
      <c r="T42" s="6" t="s">
        <v>75</v>
      </c>
      <c r="U42" s="6" t="s">
        <v>75</v>
      </c>
      <c r="V42" s="6">
        <v>24000</v>
      </c>
      <c r="W42" s="6">
        <v>16000</v>
      </c>
      <c r="X42" s="6">
        <v>24000</v>
      </c>
      <c r="Y42" s="6">
        <v>16000</v>
      </c>
      <c r="Z42" s="6">
        <v>20500</v>
      </c>
      <c r="AA42" s="6">
        <v>12000</v>
      </c>
      <c r="AB42" s="6">
        <v>7000</v>
      </c>
      <c r="AH42"/>
      <c r="AI42"/>
    </row>
    <row r="43" spans="1:35" x14ac:dyDescent="0.2">
      <c r="S43" s="6" t="s">
        <v>18</v>
      </c>
      <c r="T43" s="6" t="s">
        <v>75</v>
      </c>
      <c r="U43" s="6">
        <v>48000</v>
      </c>
      <c r="V43" s="6">
        <v>26000</v>
      </c>
      <c r="W43" s="6">
        <v>17500</v>
      </c>
      <c r="X43" s="6">
        <v>26000</v>
      </c>
      <c r="Y43" s="6">
        <v>17500</v>
      </c>
      <c r="Z43" s="6">
        <v>25500</v>
      </c>
      <c r="AA43" s="6">
        <v>14000</v>
      </c>
      <c r="AB43" s="6">
        <v>9000</v>
      </c>
      <c r="AH43"/>
      <c r="AI43"/>
    </row>
    <row r="44" spans="1:35" x14ac:dyDescent="0.2">
      <c r="A44" s="16" t="s">
        <v>97</v>
      </c>
      <c r="B44" s="17"/>
      <c r="C44" s="17"/>
      <c r="D44" s="17"/>
      <c r="E44" s="17"/>
      <c r="F44" s="17"/>
      <c r="G44" s="17"/>
      <c r="H44" s="17"/>
      <c r="I44" s="46">
        <f>C42</f>
        <v>0</v>
      </c>
      <c r="J44" s="42"/>
      <c r="K44" s="42"/>
      <c r="L44" s="42"/>
      <c r="M44" s="42"/>
      <c r="N44" s="42"/>
      <c r="O44" s="42"/>
      <c r="S44" s="6" t="s">
        <v>12</v>
      </c>
      <c r="T44" s="6" t="s">
        <v>75</v>
      </c>
      <c r="U44" s="6">
        <v>79000</v>
      </c>
      <c r="V44" s="6">
        <v>39000</v>
      </c>
      <c r="W44" s="6">
        <v>26000</v>
      </c>
      <c r="X44" s="6">
        <v>39000</v>
      </c>
      <c r="Y44" s="6">
        <v>26000</v>
      </c>
      <c r="Z44" s="6">
        <v>38500</v>
      </c>
      <c r="AA44" s="6">
        <v>21000</v>
      </c>
      <c r="AB44" s="6">
        <v>13500</v>
      </c>
      <c r="AH44"/>
      <c r="AI44"/>
    </row>
    <row r="45" spans="1:35" x14ac:dyDescent="0.2">
      <c r="S45" s="6" t="s">
        <v>327</v>
      </c>
      <c r="T45" s="6" t="s">
        <v>75</v>
      </c>
      <c r="U45" s="6">
        <v>35500</v>
      </c>
      <c r="V45" s="6">
        <v>19000</v>
      </c>
      <c r="W45" s="6">
        <v>8500</v>
      </c>
      <c r="X45" s="6">
        <v>14000</v>
      </c>
      <c r="Y45" s="6">
        <v>8500</v>
      </c>
      <c r="Z45" s="6">
        <v>18000</v>
      </c>
      <c r="AA45" s="6">
        <v>9000</v>
      </c>
      <c r="AB45" s="6">
        <v>5500</v>
      </c>
      <c r="AH45"/>
      <c r="AI45"/>
    </row>
    <row r="46" spans="1:35" x14ac:dyDescent="0.2">
      <c r="A46" s="4" t="s">
        <v>228</v>
      </c>
      <c r="AH46"/>
      <c r="AI46"/>
    </row>
    <row r="47" spans="1:35" x14ac:dyDescent="0.2">
      <c r="AH47"/>
      <c r="AI47"/>
    </row>
    <row r="48" spans="1:35" x14ac:dyDescent="0.2">
      <c r="A48" s="232" t="s">
        <v>21</v>
      </c>
      <c r="B48" s="228"/>
      <c r="C48" s="241" t="s">
        <v>132</v>
      </c>
      <c r="D48" s="242"/>
      <c r="E48" s="242"/>
      <c r="F48" s="242"/>
      <c r="G48" s="243"/>
      <c r="AH48"/>
      <c r="AI48"/>
    </row>
    <row r="49" spans="1:35" x14ac:dyDescent="0.2">
      <c r="A49" s="233"/>
      <c r="B49" s="234"/>
      <c r="C49" s="19" t="s">
        <v>109</v>
      </c>
      <c r="D49" s="19" t="s">
        <v>110</v>
      </c>
      <c r="E49" s="19" t="s">
        <v>111</v>
      </c>
      <c r="F49" s="19" t="s">
        <v>112</v>
      </c>
      <c r="G49" s="19" t="s">
        <v>113</v>
      </c>
      <c r="AH49"/>
      <c r="AI49"/>
    </row>
    <row r="50" spans="1:35" x14ac:dyDescent="0.2">
      <c r="A50" s="37" t="s">
        <v>11</v>
      </c>
      <c r="B50" s="21" t="str">
        <f>IF(B6="A1","Y","N")</f>
        <v>N</v>
      </c>
      <c r="C50" s="21">
        <v>0</v>
      </c>
      <c r="D50" s="21">
        <v>0</v>
      </c>
      <c r="E50" s="21">
        <v>0</v>
      </c>
      <c r="F50" s="21">
        <v>0</v>
      </c>
      <c r="G50" s="21">
        <v>1</v>
      </c>
      <c r="AH50"/>
      <c r="AI50"/>
    </row>
    <row r="51" spans="1:35" x14ac:dyDescent="0.2">
      <c r="A51" s="35" t="s">
        <v>10</v>
      </c>
      <c r="B51" s="20" t="str">
        <f>IF(B6="A2","Y","N")</f>
        <v>N</v>
      </c>
      <c r="C51" s="20">
        <v>-5</v>
      </c>
      <c r="D51" s="20">
        <v>-3</v>
      </c>
      <c r="E51" s="20">
        <v>0</v>
      </c>
      <c r="F51" s="20">
        <v>1</v>
      </c>
      <c r="G51" s="20">
        <v>3</v>
      </c>
      <c r="AH51"/>
      <c r="AI51"/>
    </row>
    <row r="52" spans="1:35" x14ac:dyDescent="0.2">
      <c r="A52" s="35" t="s">
        <v>147</v>
      </c>
      <c r="B52" s="20" t="str">
        <f>IF(OR(B6="A3",B6="A4",B6="B",B6="E",B6="F1",B6="F2", B6="M",B6="S1"),"Y","N")</f>
        <v>N</v>
      </c>
      <c r="C52" s="20">
        <v>-4</v>
      </c>
      <c r="D52" s="20">
        <v>-3</v>
      </c>
      <c r="E52" s="20">
        <v>0</v>
      </c>
      <c r="F52" s="20">
        <v>2</v>
      </c>
      <c r="G52" s="20">
        <v>4</v>
      </c>
      <c r="S52" s="75" t="s">
        <v>323</v>
      </c>
      <c r="W52" t="s">
        <v>331</v>
      </c>
      <c r="Z52" t="s">
        <v>349</v>
      </c>
      <c r="AH52"/>
      <c r="AI52"/>
    </row>
    <row r="53" spans="1:35" x14ac:dyDescent="0.2">
      <c r="A53" s="35" t="s">
        <v>9</v>
      </c>
      <c r="B53" s="20" t="str">
        <f>IF(OR(B6="R1",B6="R2",B6="R3", B6="R4"),"Y","N")</f>
        <v>Y</v>
      </c>
      <c r="C53" s="20">
        <v>-4</v>
      </c>
      <c r="D53" s="20">
        <v>-2</v>
      </c>
      <c r="E53" s="20">
        <v>0</v>
      </c>
      <c r="F53" s="20">
        <v>2</v>
      </c>
      <c r="G53" s="20">
        <v>4</v>
      </c>
      <c r="S53" s="6" t="s">
        <v>314</v>
      </c>
      <c r="T53" s="6" t="s">
        <v>75</v>
      </c>
      <c r="W53" s="6" t="s">
        <v>314</v>
      </c>
      <c r="X53" s="6">
        <v>2</v>
      </c>
      <c r="Y53" s="3"/>
      <c r="AA53" s="3" t="s">
        <v>314</v>
      </c>
      <c r="AB53" s="3" t="s">
        <v>318</v>
      </c>
      <c r="AC53" s="3" t="s">
        <v>319</v>
      </c>
      <c r="AD53" s="3" t="s">
        <v>315</v>
      </c>
      <c r="AE53" s="3" t="s">
        <v>316</v>
      </c>
      <c r="AF53" s="3" t="s">
        <v>317</v>
      </c>
      <c r="AG53" s="3" t="s">
        <v>320</v>
      </c>
      <c r="AH53" s="71" t="s">
        <v>321</v>
      </c>
      <c r="AI53" s="140" t="s">
        <v>322</v>
      </c>
    </row>
    <row r="54" spans="1:35" x14ac:dyDescent="0.2">
      <c r="A54" s="56" t="s">
        <v>267</v>
      </c>
      <c r="B54" s="3" t="str">
        <f>IF(B6="I2","Y","N")</f>
        <v>N</v>
      </c>
      <c r="C54" s="20">
        <v>0</v>
      </c>
      <c r="D54" s="20">
        <v>1</v>
      </c>
      <c r="E54" s="20">
        <v>2</v>
      </c>
      <c r="F54" s="20">
        <v>3</v>
      </c>
      <c r="G54" s="20">
        <v>4</v>
      </c>
      <c r="S54" s="6" t="s">
        <v>318</v>
      </c>
      <c r="T54" s="6">
        <v>160</v>
      </c>
      <c r="W54" s="6" t="s">
        <v>318</v>
      </c>
      <c r="X54" s="6">
        <v>3</v>
      </c>
      <c r="Y54" s="3"/>
      <c r="Z54" s="6" t="s">
        <v>77</v>
      </c>
      <c r="AA54" s="6">
        <v>4</v>
      </c>
      <c r="AB54" s="6">
        <v>4</v>
      </c>
      <c r="AC54" s="3">
        <v>4</v>
      </c>
      <c r="AD54" s="3">
        <v>4</v>
      </c>
      <c r="AE54" s="3">
        <v>4</v>
      </c>
      <c r="AF54" s="3">
        <v>4</v>
      </c>
      <c r="AG54" s="3">
        <v>4</v>
      </c>
      <c r="AH54" s="6">
        <v>4</v>
      </c>
      <c r="AI54" s="6">
        <v>3</v>
      </c>
    </row>
    <row r="55" spans="1:35" x14ac:dyDescent="0.2">
      <c r="A55" s="35" t="s">
        <v>12</v>
      </c>
      <c r="B55" s="20" t="str">
        <f>IF(B6="S2","Y","N")</f>
        <v>N</v>
      </c>
      <c r="C55" s="20">
        <v>-5</v>
      </c>
      <c r="D55" s="20">
        <v>-2</v>
      </c>
      <c r="E55" s="20">
        <v>0</v>
      </c>
      <c r="F55" s="20">
        <v>2</v>
      </c>
      <c r="G55" s="20">
        <v>4</v>
      </c>
      <c r="S55" s="6" t="s">
        <v>319</v>
      </c>
      <c r="T55" s="6">
        <v>65</v>
      </c>
      <c r="W55" s="6" t="s">
        <v>319</v>
      </c>
      <c r="X55" s="6">
        <v>4</v>
      </c>
      <c r="Z55" s="6" t="s">
        <v>76</v>
      </c>
      <c r="AA55" s="6">
        <v>4</v>
      </c>
      <c r="AB55" s="6">
        <v>4</v>
      </c>
      <c r="AC55" s="3">
        <v>4</v>
      </c>
      <c r="AD55" s="3">
        <v>4</v>
      </c>
      <c r="AE55" s="3">
        <v>4</v>
      </c>
      <c r="AF55" s="3">
        <v>4</v>
      </c>
      <c r="AG55" s="3">
        <v>4</v>
      </c>
      <c r="AH55" s="6">
        <v>4</v>
      </c>
      <c r="AI55" s="6">
        <v>3</v>
      </c>
    </row>
    <row r="56" spans="1:35" x14ac:dyDescent="0.2">
      <c r="S56" s="6" t="s">
        <v>315</v>
      </c>
      <c r="T56" s="6">
        <v>55</v>
      </c>
      <c r="W56" s="6" t="s">
        <v>315</v>
      </c>
      <c r="X56" s="6">
        <v>5</v>
      </c>
      <c r="Z56" s="6" t="s">
        <v>78</v>
      </c>
      <c r="AA56" s="6">
        <v>4</v>
      </c>
      <c r="AB56" s="6">
        <v>4</v>
      </c>
      <c r="AC56" s="3">
        <v>4</v>
      </c>
      <c r="AD56" s="3">
        <v>4</v>
      </c>
      <c r="AE56" s="3">
        <v>4</v>
      </c>
      <c r="AF56" s="3">
        <v>4</v>
      </c>
      <c r="AG56" s="3">
        <v>4</v>
      </c>
      <c r="AH56" s="6">
        <v>4</v>
      </c>
      <c r="AI56" s="6">
        <v>4</v>
      </c>
    </row>
    <row r="57" spans="1:35" x14ac:dyDescent="0.2">
      <c r="A57" s="2" t="s">
        <v>121</v>
      </c>
      <c r="C57" s="48" t="str">
        <f>IF(Input!D40="Category a","a", IF(Input!D40="Category b","b", IF(Input!D40="Category c","c",IF(Input!D40="Category d","d",IF(Input!D40="Category e","e", "Error")))))</f>
        <v>c</v>
      </c>
      <c r="D57" s="54">
        <f>IF(C57="a",2,IF(C57="b",3,IF(C57="c",4,IF(C57="d",5,IF(C57="e",6,"Error")))))</f>
        <v>4</v>
      </c>
      <c r="S57" s="6" t="s">
        <v>316</v>
      </c>
      <c r="T57" s="6">
        <v>65</v>
      </c>
      <c r="W57" s="6" t="s">
        <v>316</v>
      </c>
      <c r="X57" s="6">
        <v>6</v>
      </c>
      <c r="Z57" s="6" t="s">
        <v>79</v>
      </c>
      <c r="AA57" s="6">
        <v>4</v>
      </c>
      <c r="AB57" s="6">
        <v>4</v>
      </c>
      <c r="AC57" s="3">
        <v>4</v>
      </c>
      <c r="AD57" s="3">
        <v>4</v>
      </c>
      <c r="AE57" s="3">
        <v>4</v>
      </c>
      <c r="AF57" s="3">
        <v>4</v>
      </c>
      <c r="AG57" s="3">
        <v>4</v>
      </c>
      <c r="AH57" s="6">
        <v>4</v>
      </c>
      <c r="AI57" s="6">
        <v>3</v>
      </c>
    </row>
    <row r="58" spans="1:35" x14ac:dyDescent="0.2">
      <c r="S58" s="6" t="s">
        <v>317</v>
      </c>
      <c r="T58" s="6">
        <v>55</v>
      </c>
      <c r="W58" s="6" t="s">
        <v>317</v>
      </c>
      <c r="X58" s="6">
        <v>7</v>
      </c>
      <c r="Z58" s="6"/>
      <c r="AA58" s="6"/>
      <c r="AB58" s="3"/>
      <c r="AC58" s="3"/>
      <c r="AD58" s="3"/>
      <c r="AE58" s="3"/>
      <c r="AF58" s="3"/>
      <c r="AG58" s="3"/>
      <c r="AH58" s="3"/>
      <c r="AI58" s="3"/>
    </row>
    <row r="59" spans="1:35" x14ac:dyDescent="0.2">
      <c r="A59" s="16" t="s">
        <v>97</v>
      </c>
      <c r="B59" s="17"/>
      <c r="C59" s="17"/>
      <c r="D59" s="17"/>
      <c r="E59" s="17"/>
      <c r="F59" s="17"/>
      <c r="G59" s="17"/>
      <c r="H59" s="17"/>
      <c r="I59" s="46">
        <f>VLOOKUP("Y",B49:G55,D57,FALSE)</f>
        <v>0</v>
      </c>
      <c r="J59" s="42"/>
      <c r="K59" s="42"/>
      <c r="L59" s="42"/>
      <c r="M59" s="42"/>
      <c r="N59" s="42"/>
      <c r="O59" s="42"/>
      <c r="S59" s="6" t="s">
        <v>320</v>
      </c>
      <c r="T59" s="6">
        <v>65</v>
      </c>
      <c r="W59" s="6" t="s">
        <v>320</v>
      </c>
      <c r="X59" s="6">
        <v>8</v>
      </c>
      <c r="Z59" s="6"/>
      <c r="AA59" s="6"/>
      <c r="AH59"/>
      <c r="AI59"/>
    </row>
    <row r="60" spans="1:35" x14ac:dyDescent="0.2">
      <c r="S60" s="6" t="s">
        <v>321</v>
      </c>
      <c r="T60" s="6">
        <v>50</v>
      </c>
      <c r="W60" s="6" t="s">
        <v>321</v>
      </c>
      <c r="X60" s="6">
        <v>9</v>
      </c>
      <c r="Z60" s="6"/>
      <c r="AA60" s="6"/>
      <c r="AH60"/>
      <c r="AI60"/>
    </row>
    <row r="61" spans="1:35" x14ac:dyDescent="0.2">
      <c r="A61" s="4" t="s">
        <v>229</v>
      </c>
      <c r="S61" s="6" t="s">
        <v>322</v>
      </c>
      <c r="T61" s="6">
        <v>40</v>
      </c>
      <c r="W61" s="6" t="s">
        <v>322</v>
      </c>
      <c r="X61" s="6">
        <v>10</v>
      </c>
      <c r="Z61" s="6"/>
      <c r="AA61" s="6"/>
      <c r="AH61"/>
      <c r="AI61"/>
    </row>
    <row r="62" spans="1:35" x14ac:dyDescent="0.2">
      <c r="AH62"/>
      <c r="AI62"/>
    </row>
    <row r="63" spans="1:35" x14ac:dyDescent="0.2">
      <c r="A63" s="232" t="s">
        <v>21</v>
      </c>
      <c r="B63" s="228"/>
      <c r="C63" s="235" t="s">
        <v>132</v>
      </c>
      <c r="D63" s="223"/>
      <c r="E63" s="223"/>
      <c r="F63" s="224"/>
      <c r="S63" s="6"/>
      <c r="T63" s="6"/>
      <c r="AH63"/>
      <c r="AI63"/>
    </row>
    <row r="64" spans="1:35" x14ac:dyDescent="0.2">
      <c r="A64" s="233"/>
      <c r="B64" s="234"/>
      <c r="C64" s="19" t="s">
        <v>109</v>
      </c>
      <c r="D64" s="19" t="s">
        <v>110</v>
      </c>
      <c r="E64" s="19" t="s">
        <v>111</v>
      </c>
      <c r="F64" s="19" t="s">
        <v>112</v>
      </c>
      <c r="G64" s="7"/>
      <c r="H64" s="7"/>
      <c r="AH64"/>
      <c r="AI64"/>
    </row>
    <row r="65" spans="1:35" x14ac:dyDescent="0.2">
      <c r="A65" s="35" t="s">
        <v>11</v>
      </c>
      <c r="B65" s="20" t="str">
        <f>IF(B6="A1","Y","N")</f>
        <v>N</v>
      </c>
      <c r="C65" s="20">
        <v>-10</v>
      </c>
      <c r="D65" s="20">
        <v>-4</v>
      </c>
      <c r="E65" s="20">
        <v>0</v>
      </c>
      <c r="F65" s="20">
        <v>2</v>
      </c>
      <c r="G65" s="59"/>
      <c r="H65" s="8"/>
      <c r="S65" s="2" t="s">
        <v>332</v>
      </c>
      <c r="AH65"/>
      <c r="AI65"/>
    </row>
    <row r="66" spans="1:35" x14ac:dyDescent="0.2">
      <c r="A66" s="35" t="s">
        <v>10</v>
      </c>
      <c r="B66" s="20" t="str">
        <f>IF(B6="A2","Y","N")</f>
        <v>N</v>
      </c>
      <c r="C66" s="20">
        <v>-30</v>
      </c>
      <c r="D66" s="20">
        <v>-12</v>
      </c>
      <c r="E66" s="20">
        <v>0</v>
      </c>
      <c r="F66" s="20">
        <v>2</v>
      </c>
      <c r="G66" s="59"/>
      <c r="H66" s="8"/>
      <c r="S66" s="6" t="s">
        <v>314</v>
      </c>
      <c r="T66" s="6">
        <v>1.2</v>
      </c>
      <c r="U66" s="6"/>
      <c r="V66" s="6"/>
      <c r="AH66"/>
      <c r="AI66"/>
    </row>
    <row r="67" spans="1:35" x14ac:dyDescent="0.2">
      <c r="A67" s="35" t="s">
        <v>118</v>
      </c>
      <c r="B67" s="20" t="str">
        <f>IF(OR(B6="A3",B6="F1",B6="F2",B6="M",B6="R1",B6="R2", B6="R3",B6="R4", B6="S1"),"Y","N")</f>
        <v>Y</v>
      </c>
      <c r="C67" s="20">
        <v>-7</v>
      </c>
      <c r="D67" s="20">
        <v>-3</v>
      </c>
      <c r="E67" s="20">
        <v>0</v>
      </c>
      <c r="F67" s="20">
        <v>2</v>
      </c>
      <c r="G67" s="59"/>
      <c r="H67" s="8"/>
      <c r="S67" s="6" t="s">
        <v>318</v>
      </c>
      <c r="T67" s="3">
        <v>1.5</v>
      </c>
      <c r="U67" s="3"/>
      <c r="V67" s="3"/>
      <c r="AH67"/>
      <c r="AI67"/>
    </row>
    <row r="68" spans="1:35" x14ac:dyDescent="0.2">
      <c r="A68" s="57" t="s">
        <v>106</v>
      </c>
      <c r="B68" s="58" t="str">
        <f>IF(OR(B6="A4",B6="B",B6="E", B6="S2"),"Y","N")</f>
        <v>N</v>
      </c>
      <c r="C68" s="58">
        <v>-5</v>
      </c>
      <c r="D68" s="58">
        <v>-2</v>
      </c>
      <c r="E68" s="58">
        <v>0</v>
      </c>
      <c r="F68" s="58">
        <v>5</v>
      </c>
      <c r="G68" s="59"/>
      <c r="H68" s="8"/>
      <c r="S68" s="6" t="s">
        <v>319</v>
      </c>
      <c r="T68" s="3">
        <v>2.2000000000000002</v>
      </c>
      <c r="AH68"/>
      <c r="AI68"/>
    </row>
    <row r="69" spans="1:35" x14ac:dyDescent="0.2">
      <c r="A69" s="35" t="s">
        <v>267</v>
      </c>
      <c r="B69" s="20" t="str">
        <f>IF(B6="I2","Y","N")</f>
        <v>N</v>
      </c>
      <c r="C69" s="20">
        <v>-10</v>
      </c>
      <c r="D69" s="20">
        <v>0</v>
      </c>
      <c r="E69" s="20">
        <v>1</v>
      </c>
      <c r="F69" s="20">
        <v>2</v>
      </c>
      <c r="G69" s="8"/>
      <c r="H69" s="8"/>
      <c r="S69" s="6" t="s">
        <v>315</v>
      </c>
      <c r="T69" s="3">
        <v>3.5</v>
      </c>
      <c r="AH69"/>
      <c r="AI69"/>
    </row>
    <row r="70" spans="1:35" x14ac:dyDescent="0.2">
      <c r="A70" s="10"/>
      <c r="B70" s="8"/>
      <c r="C70" s="8"/>
      <c r="D70" s="8"/>
      <c r="E70" s="8"/>
      <c r="F70" s="8"/>
      <c r="G70" s="42"/>
      <c r="H70" s="42"/>
      <c r="S70" s="6" t="s">
        <v>316</v>
      </c>
      <c r="T70" s="3">
        <v>2.5</v>
      </c>
      <c r="AH70"/>
      <c r="AI70"/>
    </row>
    <row r="71" spans="1:35" x14ac:dyDescent="0.2">
      <c r="A71" s="5" t="s">
        <v>120</v>
      </c>
      <c r="C71" s="13" t="str">
        <f>IF(Input!D44="Category a","a",IF(Input!D44="Category b","b",IF(Input!D44="Category c","c",IF(Input!D44="Category d","d","Error"))))</f>
        <v>c</v>
      </c>
      <c r="D71" s="54">
        <f>IF(C71="a",2,IF(C71="b",3,IF(C71="c",4,IF(C71="d",5,IF(C71="e",6,IF(C71="f",7,"Error"))))))</f>
        <v>4</v>
      </c>
      <c r="S71" s="6" t="s">
        <v>317</v>
      </c>
      <c r="T71" s="3">
        <v>3.5</v>
      </c>
      <c r="AH71"/>
      <c r="AI71"/>
    </row>
    <row r="72" spans="1:35" x14ac:dyDescent="0.2">
      <c r="S72" s="6" t="s">
        <v>320</v>
      </c>
      <c r="T72" s="3">
        <v>2.2999999999999998</v>
      </c>
      <c r="AH72"/>
      <c r="AI72"/>
    </row>
    <row r="73" spans="1:35" x14ac:dyDescent="0.2">
      <c r="A73" s="18" t="s">
        <v>97</v>
      </c>
      <c r="B73" s="17"/>
      <c r="C73" s="17"/>
      <c r="D73" s="17"/>
      <c r="E73" s="17"/>
      <c r="F73" s="17"/>
      <c r="G73" s="17"/>
      <c r="H73" s="17"/>
      <c r="I73" s="46">
        <f>VLOOKUP("Y",B64:F69,D71,FALSE)</f>
        <v>0</v>
      </c>
      <c r="J73" s="42"/>
      <c r="K73" s="42"/>
      <c r="L73" s="42"/>
      <c r="M73" s="42"/>
      <c r="N73" s="42"/>
      <c r="O73" s="42"/>
      <c r="S73" s="6" t="s">
        <v>321</v>
      </c>
      <c r="T73" s="3">
        <v>3.3</v>
      </c>
      <c r="AH73"/>
      <c r="AI73"/>
    </row>
    <row r="74" spans="1:35" x14ac:dyDescent="0.2">
      <c r="S74" s="6" t="s">
        <v>322</v>
      </c>
      <c r="T74" s="3">
        <v>7</v>
      </c>
      <c r="AH74"/>
      <c r="AI74"/>
    </row>
    <row r="75" spans="1:35" x14ac:dyDescent="0.2">
      <c r="A75" s="4" t="s">
        <v>230</v>
      </c>
      <c r="U75" s="71"/>
      <c r="V75" s="2"/>
      <c r="AH75"/>
      <c r="AI75"/>
    </row>
    <row r="76" spans="1:35" x14ac:dyDescent="0.2">
      <c r="U76" s="71"/>
      <c r="V76" s="2"/>
      <c r="AH76"/>
      <c r="AI76"/>
    </row>
    <row r="77" spans="1:35" x14ac:dyDescent="0.2">
      <c r="A77" t="s">
        <v>140</v>
      </c>
      <c r="C77" s="13">
        <f>Input!D48</f>
        <v>1</v>
      </c>
      <c r="U77" s="71"/>
      <c r="V77" s="2"/>
      <c r="AH77"/>
      <c r="AI77"/>
    </row>
    <row r="78" spans="1:35" x14ac:dyDescent="0.2">
      <c r="U78" s="71"/>
      <c r="V78" s="2"/>
      <c r="AH78"/>
      <c r="AI78"/>
    </row>
    <row r="79" spans="1:35" x14ac:dyDescent="0.2">
      <c r="A79" s="20" t="s">
        <v>135</v>
      </c>
      <c r="B79" s="34"/>
      <c r="C79" s="20" t="s">
        <v>139</v>
      </c>
      <c r="U79" s="71"/>
      <c r="V79" s="2"/>
      <c r="AH79"/>
      <c r="AI79"/>
    </row>
    <row r="80" spans="1:35" x14ac:dyDescent="0.2">
      <c r="A80" s="23" t="s">
        <v>39</v>
      </c>
      <c r="B80" s="20" t="str">
        <f>IF(Input!D49="None","Y","N")</f>
        <v>Y</v>
      </c>
      <c r="C80" s="20">
        <f>C77*-2</f>
        <v>-2</v>
      </c>
      <c r="U80" s="71"/>
      <c r="V80" s="2"/>
      <c r="AH80"/>
      <c r="AI80"/>
    </row>
    <row r="81" spans="1:35" x14ac:dyDescent="0.2">
      <c r="A81" s="23" t="s">
        <v>136</v>
      </c>
      <c r="B81" s="20" t="str">
        <f>IF(Input!D49="&lt; 1 hr","Y","N")</f>
        <v>N</v>
      </c>
      <c r="C81" s="20">
        <f>C77*-1</f>
        <v>-1</v>
      </c>
      <c r="U81" s="71"/>
      <c r="V81" s="2"/>
      <c r="AH81"/>
      <c r="AI81"/>
    </row>
    <row r="82" spans="1:35" x14ac:dyDescent="0.2">
      <c r="A82" s="23" t="s">
        <v>138</v>
      </c>
      <c r="B82" s="20" t="str">
        <f>IF(Input!D49="1hr - 2hr","Y","N")</f>
        <v>N</v>
      </c>
      <c r="C82" s="20">
        <v>1</v>
      </c>
      <c r="U82" s="71"/>
      <c r="V82" s="2"/>
      <c r="AH82"/>
      <c r="AI82"/>
    </row>
    <row r="83" spans="1:35" x14ac:dyDescent="0.2">
      <c r="A83" s="23" t="s">
        <v>137</v>
      </c>
      <c r="B83" s="20" t="str">
        <f>IF(Input!D49="&gt; 2 hr","Y","N")</f>
        <v>N</v>
      </c>
      <c r="C83" s="20">
        <v>2</v>
      </c>
      <c r="U83" s="71"/>
      <c r="V83" s="2"/>
      <c r="AH83"/>
      <c r="AI83"/>
    </row>
    <row r="84" spans="1:35" x14ac:dyDescent="0.2">
      <c r="U84" s="71"/>
      <c r="V84" s="2"/>
      <c r="AH84"/>
      <c r="AI84"/>
    </row>
    <row r="85" spans="1:35" x14ac:dyDescent="0.2">
      <c r="A85" t="s">
        <v>141</v>
      </c>
      <c r="C85" s="13">
        <f>VLOOKUP(B7,S66:T74,2,FALSE)</f>
        <v>2.2000000000000002</v>
      </c>
      <c r="V85" s="71"/>
      <c r="W85" s="2"/>
      <c r="AH85"/>
      <c r="AI85"/>
    </row>
    <row r="86" spans="1:35" x14ac:dyDescent="0.2">
      <c r="A86" t="s">
        <v>158</v>
      </c>
      <c r="C86" s="13" t="str">
        <f>IF(C77=1,"N/A",(VLOOKUP("Y",B80:C83,2,FALSE)))</f>
        <v>N/A</v>
      </c>
      <c r="V86" s="71"/>
      <c r="W86" s="2"/>
      <c r="AH86"/>
      <c r="AI86"/>
    </row>
    <row r="87" spans="1:35" x14ac:dyDescent="0.2">
      <c r="A87" t="s">
        <v>159</v>
      </c>
      <c r="C87" s="13" t="str">
        <f>IF(C77=1,"N/A",C85*C86)</f>
        <v>N/A</v>
      </c>
      <c r="V87" s="71"/>
      <c r="W87" s="2"/>
      <c r="AH87"/>
      <c r="AI87"/>
    </row>
    <row r="88" spans="1:35" x14ac:dyDescent="0.2">
      <c r="V88" s="71"/>
      <c r="W88" s="2"/>
      <c r="AH88"/>
      <c r="AI88"/>
    </row>
    <row r="89" spans="1:35" x14ac:dyDescent="0.2">
      <c r="A89" s="22" t="s">
        <v>97</v>
      </c>
      <c r="B89" s="17"/>
      <c r="C89" s="17"/>
      <c r="D89" s="17"/>
      <c r="E89" s="17"/>
      <c r="F89" s="17"/>
      <c r="G89" s="17"/>
      <c r="H89" s="17"/>
      <c r="I89" s="46">
        <f>IF(C77=0,"ERROR",IF(C77=1,2,C87))</f>
        <v>2</v>
      </c>
      <c r="J89" s="42"/>
      <c r="K89" s="42"/>
      <c r="L89" s="42"/>
      <c r="M89" s="42"/>
      <c r="N89" s="42"/>
      <c r="O89" s="42"/>
      <c r="V89" s="71"/>
      <c r="W89" s="2"/>
      <c r="AH89"/>
      <c r="AI89"/>
    </row>
    <row r="90" spans="1:35" x14ac:dyDescent="0.2">
      <c r="V90" s="71"/>
      <c r="W90" s="2"/>
      <c r="AH90"/>
      <c r="AI90"/>
    </row>
    <row r="91" spans="1:35" x14ac:dyDescent="0.2">
      <c r="A91" s="4" t="s">
        <v>231</v>
      </c>
      <c r="V91" s="71"/>
      <c r="W91" s="2"/>
      <c r="AH91"/>
      <c r="AI91"/>
    </row>
    <row r="92" spans="1:35" x14ac:dyDescent="0.2">
      <c r="V92" s="71"/>
      <c r="W92" s="2"/>
      <c r="AH92"/>
      <c r="AI92"/>
    </row>
    <row r="93" spans="1:35" x14ac:dyDescent="0.2">
      <c r="A93" s="2" t="s">
        <v>119</v>
      </c>
      <c r="C93" s="13" t="str">
        <f>IF(Input!J4="Category a","a", IF(Input!J4="Category b","b", IF(Input!J4="Category c","c",IF(Input!J4="Category d","d",IF(Input!J4="Category e","e", "Error")))))</f>
        <v>b</v>
      </c>
      <c r="V93" s="71"/>
      <c r="W93" s="2"/>
      <c r="AH93"/>
      <c r="AI93"/>
    </row>
    <row r="94" spans="1:35" x14ac:dyDescent="0.2">
      <c r="V94" s="71"/>
      <c r="W94" s="2"/>
      <c r="AH94"/>
      <c r="AI94"/>
    </row>
    <row r="95" spans="1:35" x14ac:dyDescent="0.2">
      <c r="A95" s="16" t="s">
        <v>97</v>
      </c>
      <c r="B95" s="17"/>
      <c r="C95" s="17"/>
      <c r="D95" s="17"/>
      <c r="E95" s="17"/>
      <c r="F95" s="17"/>
      <c r="G95" s="17"/>
      <c r="H95" s="17"/>
      <c r="I95" s="46">
        <f>IF(AND(B6="I2",OR(C93="a",C93="b",C93="c")),"NP",IF(C93="a", -10, IF(C93="b",-5,IF(C93="c",-15, IF(C93="d",0, IF(C93="e",5,"Error"))))))</f>
        <v>-5</v>
      </c>
      <c r="J95" s="42"/>
      <c r="K95" s="42"/>
      <c r="L95" s="42"/>
      <c r="M95" s="42"/>
      <c r="N95" s="42"/>
      <c r="O95" s="42"/>
      <c r="V95" s="71"/>
      <c r="W95" s="2"/>
      <c r="AH95"/>
      <c r="AI95"/>
    </row>
    <row r="96" spans="1:35" x14ac:dyDescent="0.2">
      <c r="V96" s="71"/>
      <c r="W96" s="2"/>
      <c r="AH96"/>
      <c r="AI96"/>
    </row>
    <row r="97" spans="1:35" x14ac:dyDescent="0.2">
      <c r="A97" s="4" t="s">
        <v>232</v>
      </c>
      <c r="V97" s="71"/>
      <c r="W97" s="2"/>
      <c r="AH97"/>
      <c r="AI97"/>
    </row>
    <row r="98" spans="1:35" x14ac:dyDescent="0.2">
      <c r="V98" s="71"/>
      <c r="W98" s="2"/>
      <c r="AH98"/>
      <c r="AI98"/>
    </row>
    <row r="99" spans="1:35" x14ac:dyDescent="0.2">
      <c r="A99" s="232" t="s">
        <v>21</v>
      </c>
      <c r="B99" s="228"/>
      <c r="C99" s="222" t="s">
        <v>132</v>
      </c>
      <c r="D99" s="223"/>
      <c r="E99" s="223"/>
      <c r="F99" s="223"/>
      <c r="G99" s="223"/>
      <c r="H99" s="240"/>
      <c r="V99" s="71"/>
      <c r="W99" s="2"/>
      <c r="AH99"/>
      <c r="AI99"/>
    </row>
    <row r="100" spans="1:35" x14ac:dyDescent="0.2">
      <c r="A100" s="233"/>
      <c r="B100" s="234"/>
      <c r="C100" s="19" t="s">
        <v>109</v>
      </c>
      <c r="D100" s="19" t="s">
        <v>110</v>
      </c>
      <c r="E100" s="19" t="s">
        <v>111</v>
      </c>
      <c r="F100" s="19" t="s">
        <v>112</v>
      </c>
      <c r="G100" s="29" t="s">
        <v>113</v>
      </c>
      <c r="H100" s="20" t="s">
        <v>130</v>
      </c>
      <c r="V100" s="71"/>
      <c r="W100" s="2"/>
      <c r="AH100"/>
      <c r="AI100"/>
    </row>
    <row r="101" spans="1:35" x14ac:dyDescent="0.2">
      <c r="A101" s="24" t="s">
        <v>122</v>
      </c>
      <c r="B101" s="20" t="str">
        <f>IF(OR(B6="A1",B6="A3",B6="F1",B6="F2",B6="M",B6="R1", B6="R2",B6="R3",B6="R4",B6="S1"),"Y","N")</f>
        <v>Y</v>
      </c>
      <c r="C101" s="20">
        <v>-10</v>
      </c>
      <c r="D101" s="20">
        <v>-5</v>
      </c>
      <c r="E101" s="20">
        <v>0</v>
      </c>
      <c r="F101" s="20">
        <v>2</v>
      </c>
      <c r="G101" s="60">
        <v>6</v>
      </c>
      <c r="H101" s="20">
        <v>0</v>
      </c>
      <c r="V101" s="71"/>
      <c r="W101" s="2"/>
      <c r="AH101"/>
      <c r="AI101"/>
    </row>
    <row r="102" spans="1:35" x14ac:dyDescent="0.2">
      <c r="A102" s="24" t="s">
        <v>10</v>
      </c>
      <c r="B102" s="20" t="str">
        <f>IF(B6="A2","Y","N")</f>
        <v>N</v>
      </c>
      <c r="C102" s="20">
        <v>-25</v>
      </c>
      <c r="D102" s="20">
        <v>-5</v>
      </c>
      <c r="E102" s="20">
        <v>0</v>
      </c>
      <c r="F102" s="20">
        <v>5</v>
      </c>
      <c r="G102" s="60">
        <v>9</v>
      </c>
      <c r="H102" s="20">
        <v>0</v>
      </c>
      <c r="V102" s="71"/>
      <c r="W102" s="2"/>
      <c r="AH102"/>
      <c r="AI102"/>
    </row>
    <row r="103" spans="1:35" x14ac:dyDescent="0.2">
      <c r="A103" s="24" t="s">
        <v>106</v>
      </c>
      <c r="B103" s="20" t="str">
        <f>IF(OR(B6="A4",B6="B",B6="E",B6="S2"),"Y","N")</f>
        <v>N</v>
      </c>
      <c r="C103" s="20">
        <v>-4</v>
      </c>
      <c r="D103" s="20">
        <v>-2</v>
      </c>
      <c r="E103" s="20">
        <v>0</v>
      </c>
      <c r="F103" s="20">
        <v>4</v>
      </c>
      <c r="G103" s="60">
        <v>8</v>
      </c>
      <c r="H103" s="20">
        <v>0</v>
      </c>
      <c r="V103" s="71"/>
      <c r="W103" s="2"/>
      <c r="AH103"/>
      <c r="AI103"/>
    </row>
    <row r="104" spans="1:35" x14ac:dyDescent="0.2">
      <c r="A104" s="62" t="s">
        <v>267</v>
      </c>
      <c r="B104" s="20" t="str">
        <f>IF(B6="I2","Y","N")</f>
        <v>N</v>
      </c>
      <c r="C104" s="20" t="s">
        <v>145</v>
      </c>
      <c r="D104" s="20" t="s">
        <v>145</v>
      </c>
      <c r="E104" s="20" t="s">
        <v>145</v>
      </c>
      <c r="F104" s="20">
        <v>4</v>
      </c>
      <c r="G104" s="20">
        <v>5</v>
      </c>
      <c r="H104" s="20">
        <v>2</v>
      </c>
      <c r="V104" s="71"/>
      <c r="W104" s="2"/>
      <c r="AH104"/>
      <c r="AI104"/>
    </row>
    <row r="105" spans="1:35" x14ac:dyDescent="0.2">
      <c r="V105" s="71"/>
      <c r="W105" s="2"/>
      <c r="AH105"/>
      <c r="AI105"/>
    </row>
    <row r="106" spans="1:35" x14ac:dyDescent="0.2">
      <c r="A106" s="2" t="s">
        <v>123</v>
      </c>
      <c r="C106" s="14" t="str">
        <f>IF(Input!J8="Category a","a", IF(Input!J8="Category b","b", IF(Input!J8="Category c","c",IF(Input!J8="Category d","d",IF(Input!J8="Category e","e", IF(Input!J8="Category f","f","Error"))))))</f>
        <v>b</v>
      </c>
      <c r="D106" s="54">
        <f>IF(C106="a",2,IF(C106="b",3,IF(C106="c",4,IF(C106="d",5,IF(C106="e",6,IF(C106="f",7,"Error"))))))</f>
        <v>3</v>
      </c>
      <c r="V106" s="71"/>
      <c r="W106" s="2"/>
      <c r="AH106"/>
      <c r="AI106"/>
    </row>
    <row r="107" spans="1:35" x14ac:dyDescent="0.2">
      <c r="V107" s="71"/>
      <c r="W107" s="2"/>
      <c r="AH107"/>
      <c r="AI107"/>
    </row>
    <row r="108" spans="1:35" x14ac:dyDescent="0.2">
      <c r="A108" s="16" t="s">
        <v>97</v>
      </c>
      <c r="B108" s="17"/>
      <c r="C108" s="17"/>
      <c r="D108" s="17"/>
      <c r="E108" s="17"/>
      <c r="F108" s="17"/>
      <c r="G108" s="17"/>
      <c r="H108" s="17"/>
      <c r="I108" s="46">
        <f>VLOOKUP("Y",B100:H104,D106,FALSE)</f>
        <v>-5</v>
      </c>
      <c r="J108" s="42"/>
      <c r="K108" s="42"/>
      <c r="L108" s="42"/>
      <c r="M108" s="42"/>
      <c r="N108" s="42"/>
      <c r="O108" s="42"/>
      <c r="V108" s="71"/>
      <c r="W108" s="2"/>
      <c r="AH108"/>
      <c r="AI108"/>
    </row>
    <row r="109" spans="1:35" x14ac:dyDescent="0.2">
      <c r="V109" s="71"/>
      <c r="W109" s="2"/>
      <c r="AH109"/>
      <c r="AI109"/>
    </row>
    <row r="110" spans="1:35" x14ac:dyDescent="0.2">
      <c r="A110" s="4" t="s">
        <v>233</v>
      </c>
      <c r="V110" s="71"/>
      <c r="W110" s="2"/>
      <c r="AH110"/>
      <c r="AI110"/>
    </row>
    <row r="111" spans="1:35" x14ac:dyDescent="0.2">
      <c r="V111" s="71"/>
      <c r="W111" s="2"/>
      <c r="AH111"/>
      <c r="AI111"/>
    </row>
    <row r="112" spans="1:35" x14ac:dyDescent="0.2">
      <c r="A112" s="232" t="s">
        <v>21</v>
      </c>
      <c r="B112" s="228"/>
      <c r="C112" s="222" t="s">
        <v>132</v>
      </c>
      <c r="D112" s="223"/>
      <c r="E112" s="223"/>
      <c r="F112" s="224"/>
      <c r="V112" s="71"/>
      <c r="W112" s="2"/>
      <c r="AH112"/>
      <c r="AI112"/>
    </row>
    <row r="113" spans="1:35" x14ac:dyDescent="0.2">
      <c r="A113" s="233"/>
      <c r="B113" s="234"/>
      <c r="C113" s="19" t="s">
        <v>109</v>
      </c>
      <c r="D113" s="19" t="s">
        <v>110</v>
      </c>
      <c r="E113" s="19" t="s">
        <v>111</v>
      </c>
      <c r="F113" s="19" t="s">
        <v>112</v>
      </c>
      <c r="V113" s="71"/>
      <c r="W113" s="2"/>
      <c r="AH113"/>
      <c r="AI113"/>
    </row>
    <row r="114" spans="1:35" x14ac:dyDescent="0.2">
      <c r="A114" s="24" t="s">
        <v>124</v>
      </c>
      <c r="B114" s="20" t="str">
        <f>IF(OR(B6="A1",B6="A2",B6="A3",B6="A4",B6="B",B6="E",B6="R1", B6="R2",B6="R3",B6="R4"),"Y","N")</f>
        <v>Y</v>
      </c>
      <c r="C114" s="20">
        <v>-10</v>
      </c>
      <c r="D114" s="20">
        <f>IF(Input!D6="Yes", -3,-5)</f>
        <v>-5</v>
      </c>
      <c r="E114" s="20">
        <v>0</v>
      </c>
      <c r="F114" s="20">
        <v>5</v>
      </c>
      <c r="V114" s="71"/>
      <c r="W114" s="2"/>
      <c r="AH114"/>
      <c r="AI114"/>
    </row>
    <row r="115" spans="1:35" x14ac:dyDescent="0.2">
      <c r="A115" s="24" t="s">
        <v>125</v>
      </c>
      <c r="B115" s="20" t="str">
        <f>IF(OR(,B6="F1",B6="F2",B6="M",B6="S1", B6="S2"),"Y","N")</f>
        <v>N</v>
      </c>
      <c r="C115" s="20">
        <v>0</v>
      </c>
      <c r="D115" s="20">
        <f>IF(Input!D6="Yes",7,5)</f>
        <v>5</v>
      </c>
      <c r="E115" s="20">
        <v>10</v>
      </c>
      <c r="F115" s="20">
        <v>15</v>
      </c>
      <c r="V115" s="71"/>
      <c r="W115" s="2"/>
      <c r="AH115"/>
      <c r="AI115"/>
    </row>
    <row r="116" spans="1:35" x14ac:dyDescent="0.2">
      <c r="A116" s="62" t="s">
        <v>267</v>
      </c>
      <c r="B116" s="20" t="str">
        <f>IF(B6="I2","Y","N")</f>
        <v>N</v>
      </c>
      <c r="C116" s="20">
        <v>-4</v>
      </c>
      <c r="D116" s="20">
        <v>1</v>
      </c>
      <c r="E116" s="20">
        <v>2</v>
      </c>
      <c r="F116" s="20">
        <v>5</v>
      </c>
      <c r="V116" s="71"/>
      <c r="W116" s="2"/>
      <c r="AH116"/>
      <c r="AI116"/>
    </row>
    <row r="117" spans="1:35" x14ac:dyDescent="0.2">
      <c r="V117" s="71"/>
      <c r="W117" s="2"/>
      <c r="AH117"/>
      <c r="AI117"/>
    </row>
    <row r="118" spans="1:35" x14ac:dyDescent="0.2">
      <c r="A118" s="2" t="s">
        <v>126</v>
      </c>
      <c r="C118" s="13" t="str">
        <f>IF(Input!J12="Category a","a",IF(Input!J12="Category b","b",IF(Input!J12="Category c","c",IF(Input!J12="Category d","d","Error"))))</f>
        <v>b</v>
      </c>
      <c r="D118" s="54">
        <f>IF(C118="a",2,IF(C118="b",3,IF(C118="c",4,IF(C118="d",5,"Error"))))</f>
        <v>3</v>
      </c>
      <c r="V118" s="71"/>
      <c r="W118" s="2"/>
      <c r="AH118"/>
      <c r="AI118"/>
    </row>
    <row r="119" spans="1:35" x14ac:dyDescent="0.2">
      <c r="V119" s="71"/>
      <c r="W119" s="2"/>
      <c r="AH119"/>
      <c r="AI119"/>
    </row>
    <row r="120" spans="1:35" x14ac:dyDescent="0.2">
      <c r="A120" s="22" t="s">
        <v>97</v>
      </c>
      <c r="B120" s="17"/>
      <c r="C120" s="17"/>
      <c r="D120" s="17"/>
      <c r="E120" s="17"/>
      <c r="F120" s="17"/>
      <c r="G120" s="17"/>
      <c r="H120" s="17"/>
      <c r="I120" s="46">
        <f>VLOOKUP("Y",B113:F116,D118,FALSE)</f>
        <v>-5</v>
      </c>
      <c r="J120" s="42"/>
      <c r="K120" s="42"/>
      <c r="L120" s="42"/>
      <c r="M120" s="42"/>
      <c r="N120" s="42"/>
      <c r="O120" s="42"/>
      <c r="V120" s="71"/>
      <c r="W120" s="2"/>
      <c r="AH120"/>
      <c r="AI120"/>
    </row>
    <row r="121" spans="1:35" x14ac:dyDescent="0.2">
      <c r="V121" s="71"/>
      <c r="W121" s="2"/>
      <c r="AH121"/>
      <c r="AI121"/>
    </row>
    <row r="122" spans="1:35" x14ac:dyDescent="0.2">
      <c r="A122" s="4" t="s">
        <v>234</v>
      </c>
      <c r="V122" s="71"/>
      <c r="W122" s="2"/>
      <c r="AH122"/>
      <c r="AI122"/>
    </row>
    <row r="123" spans="1:35" x14ac:dyDescent="0.2">
      <c r="V123" s="71"/>
      <c r="W123" s="2"/>
      <c r="AH123"/>
      <c r="AI123"/>
    </row>
    <row r="124" spans="1:35" x14ac:dyDescent="0.2">
      <c r="A124" s="232" t="s">
        <v>21</v>
      </c>
      <c r="B124" s="228"/>
      <c r="C124" s="222" t="s">
        <v>132</v>
      </c>
      <c r="D124" s="223"/>
      <c r="E124" s="223"/>
      <c r="F124" s="223"/>
      <c r="G124" s="223"/>
      <c r="H124" s="224"/>
      <c r="V124" s="71"/>
      <c r="W124" s="2"/>
      <c r="AH124"/>
      <c r="AI124"/>
    </row>
    <row r="125" spans="1:35" x14ac:dyDescent="0.2">
      <c r="A125" s="233"/>
      <c r="B125" s="234"/>
      <c r="C125" s="19" t="s">
        <v>109</v>
      </c>
      <c r="D125" s="19" t="s">
        <v>110</v>
      </c>
      <c r="E125" s="19" t="s">
        <v>111</v>
      </c>
      <c r="F125" s="19" t="s">
        <v>112</v>
      </c>
      <c r="G125" s="19" t="s">
        <v>113</v>
      </c>
      <c r="H125" s="19" t="s">
        <v>130</v>
      </c>
      <c r="V125" s="71"/>
      <c r="W125" s="2"/>
      <c r="AH125"/>
      <c r="AI125"/>
    </row>
    <row r="126" spans="1:35" x14ac:dyDescent="0.2">
      <c r="A126" s="24" t="s">
        <v>146</v>
      </c>
      <c r="B126" s="20" t="str">
        <f>IF(OR(B6="A1",B6="A2",B6="A3"),"Y","N")</f>
        <v>N</v>
      </c>
      <c r="C126" s="20">
        <v>0</v>
      </c>
      <c r="D126" s="20">
        <v>1</v>
      </c>
      <c r="E126" s="20">
        <v>2</v>
      </c>
      <c r="F126" s="20">
        <v>3</v>
      </c>
      <c r="G126" s="20">
        <v>6</v>
      </c>
      <c r="H126" s="20">
        <v>6</v>
      </c>
      <c r="V126" s="71"/>
      <c r="W126" s="2"/>
      <c r="AH126"/>
      <c r="AI126"/>
    </row>
    <row r="127" spans="1:35" x14ac:dyDescent="0.2">
      <c r="A127" s="24" t="s">
        <v>127</v>
      </c>
      <c r="B127" s="19" t="str">
        <f>IF(OR(B6="A4",B6="E"),"Y","N")</f>
        <v>N</v>
      </c>
      <c r="C127" s="20">
        <v>0</v>
      </c>
      <c r="D127" s="20">
        <v>0</v>
      </c>
      <c r="E127" s="20">
        <v>0</v>
      </c>
      <c r="F127" s="20">
        <v>1</v>
      </c>
      <c r="G127" s="20">
        <v>3</v>
      </c>
      <c r="H127" s="20">
        <v>5</v>
      </c>
      <c r="V127" s="71"/>
      <c r="W127" s="2"/>
      <c r="AH127"/>
      <c r="AI127"/>
    </row>
    <row r="128" spans="1:35" x14ac:dyDescent="0.2">
      <c r="A128" s="24" t="s">
        <v>128</v>
      </c>
      <c r="B128" s="20" t="str">
        <f>IF(OR(B6="B",B6="M",B6="R1",B6="R2",B6="R3",B6="R4"),"Y","N")</f>
        <v>Y</v>
      </c>
      <c r="C128" s="20">
        <v>0</v>
      </c>
      <c r="D128" s="20">
        <f>IF(Input!D133="No",0,2)</f>
        <v>2</v>
      </c>
      <c r="E128" s="20">
        <f>IF(Input!D133="No",0,3)</f>
        <v>3</v>
      </c>
      <c r="F128" s="20">
        <f>IF(Input!D133="No",0,3)</f>
        <v>3</v>
      </c>
      <c r="G128" s="20">
        <f>IF(Input!D133="No",0,3)</f>
        <v>3</v>
      </c>
      <c r="H128" s="20">
        <f>IF(Input!D133="No",0,4)</f>
        <v>4</v>
      </c>
      <c r="V128" s="71"/>
      <c r="W128" s="2"/>
      <c r="AH128"/>
      <c r="AI128"/>
    </row>
    <row r="129" spans="1:35" x14ac:dyDescent="0.2">
      <c r="A129" s="24" t="s">
        <v>129</v>
      </c>
      <c r="B129" s="20" t="str">
        <f>IF(OR(B6="F1",B6="F2",B6="S1",B6="S2"),"Y","N")</f>
        <v>N</v>
      </c>
      <c r="C129" s="20">
        <v>0</v>
      </c>
      <c r="D129" s="20">
        <f>IF(Input!D133="No",0,2)</f>
        <v>2</v>
      </c>
      <c r="E129" s="20">
        <f>IF(Input!D133="No",0,2)</f>
        <v>2</v>
      </c>
      <c r="F129" s="20">
        <f>IF(Input!D133="No",0,3)</f>
        <v>3</v>
      </c>
      <c r="G129" s="20">
        <f>IF(Input!D133="No",0,3)</f>
        <v>3</v>
      </c>
      <c r="H129" s="20">
        <f>IF(Input!D133="No",0,3)</f>
        <v>3</v>
      </c>
      <c r="V129" s="71"/>
      <c r="W129" s="2"/>
      <c r="AH129"/>
      <c r="AI129"/>
    </row>
    <row r="130" spans="1:35" x14ac:dyDescent="0.2">
      <c r="A130" s="62" t="s">
        <v>267</v>
      </c>
      <c r="B130" s="20" t="str">
        <f>IF(B6="I2","Y","N")</f>
        <v>N</v>
      </c>
      <c r="C130" s="20">
        <v>-4</v>
      </c>
      <c r="D130" s="20">
        <v>0</v>
      </c>
      <c r="E130" s="20">
        <v>0</v>
      </c>
      <c r="F130" s="20">
        <v>0</v>
      </c>
      <c r="G130" s="20">
        <v>3</v>
      </c>
      <c r="H130" s="20">
        <v>0</v>
      </c>
      <c r="V130" s="71"/>
      <c r="W130" s="2"/>
      <c r="AH130"/>
      <c r="AI130"/>
    </row>
    <row r="131" spans="1:35" x14ac:dyDescent="0.2">
      <c r="V131" s="71"/>
      <c r="W131" s="2"/>
      <c r="AH131"/>
      <c r="AI131"/>
    </row>
    <row r="132" spans="1:35" x14ac:dyDescent="0.2">
      <c r="A132" s="2" t="s">
        <v>131</v>
      </c>
      <c r="C132" s="13" t="str">
        <f>IF(Input!J16="Category a","a", IF(Input!J16="Category b","b", IF(Input!J16="Category c","c",IF(Input!J16="Category d","d",IF(Input!J16="Category e","e", IF(Input!J16="Category f","f","Error"))))))</f>
        <v>a</v>
      </c>
      <c r="D132" s="54">
        <f>IF(C132="a",2,IF(C132="b",3,IF(C132="c",4,IF(C132="d",5,IF(C132="e",6,IF(C132="f",7,"Error"))))))</f>
        <v>2</v>
      </c>
      <c r="V132" s="71"/>
      <c r="W132" s="2"/>
      <c r="AH132"/>
      <c r="AI132"/>
    </row>
    <row r="133" spans="1:35" x14ac:dyDescent="0.2">
      <c r="A133" s="5" t="s">
        <v>264</v>
      </c>
      <c r="C133" s="13"/>
      <c r="D133" s="13" t="str">
        <f>IF(OR((C106="d"),(C106="e")),"Yes","No")</f>
        <v>No</v>
      </c>
      <c r="V133" s="71"/>
      <c r="W133" s="2"/>
      <c r="AH133"/>
      <c r="AI133"/>
    </row>
    <row r="134" spans="1:35" x14ac:dyDescent="0.2">
      <c r="V134" s="71"/>
      <c r="W134" s="2"/>
      <c r="AH134"/>
      <c r="AI134"/>
    </row>
    <row r="135" spans="1:35" x14ac:dyDescent="0.2">
      <c r="A135" s="16" t="s">
        <v>97</v>
      </c>
      <c r="B135" s="17"/>
      <c r="C135" s="17"/>
      <c r="D135" s="17"/>
      <c r="E135" s="17"/>
      <c r="F135" s="17"/>
      <c r="G135" s="17"/>
      <c r="H135" s="17"/>
      <c r="I135" s="49">
        <f>IF(AND(D133="No",(OR(B6="B",B6="F1", B6="F2", B6="M", B6="R1", B6="R2", B6="R3", B6="R4", B6="S1", B6="S2"))),0,VLOOKUP("Y",B125:H130,D132,FALSE))</f>
        <v>0</v>
      </c>
      <c r="J135" s="43"/>
      <c r="K135" s="43"/>
      <c r="L135" s="43"/>
      <c r="M135" s="43"/>
      <c r="N135" s="43"/>
      <c r="O135" s="43"/>
      <c r="V135" s="71"/>
      <c r="W135" s="2"/>
      <c r="AH135"/>
      <c r="AI135"/>
    </row>
    <row r="136" spans="1:35" x14ac:dyDescent="0.2">
      <c r="V136" s="71"/>
      <c r="W136" s="2"/>
      <c r="AH136"/>
      <c r="AI136"/>
    </row>
    <row r="137" spans="1:35" x14ac:dyDescent="0.2">
      <c r="A137" s="4" t="s">
        <v>235</v>
      </c>
      <c r="V137" s="71"/>
      <c r="W137" s="2"/>
      <c r="AH137"/>
      <c r="AI137"/>
    </row>
    <row r="139" spans="1:35" x14ac:dyDescent="0.2">
      <c r="A139" s="232" t="s">
        <v>21</v>
      </c>
      <c r="B139" s="228"/>
      <c r="C139" s="222" t="s">
        <v>132</v>
      </c>
      <c r="D139" s="223"/>
      <c r="E139" s="223"/>
      <c r="F139" s="223"/>
      <c r="G139" s="224"/>
    </row>
    <row r="140" spans="1:35" x14ac:dyDescent="0.2">
      <c r="A140" s="233"/>
      <c r="B140" s="234"/>
      <c r="C140" s="19" t="s">
        <v>109</v>
      </c>
      <c r="D140" s="19" t="s">
        <v>110</v>
      </c>
      <c r="E140" s="19" t="s">
        <v>111</v>
      </c>
      <c r="F140" s="19" t="s">
        <v>112</v>
      </c>
      <c r="G140" s="19" t="s">
        <v>113</v>
      </c>
    </row>
    <row r="141" spans="1:35" x14ac:dyDescent="0.2">
      <c r="A141" s="24" t="s">
        <v>133</v>
      </c>
      <c r="B141" s="20" t="str">
        <f>IF(OR(B6="A1",B6="A2",B6="A3",B6="A4",B6="E",B6="I2"),"Y","N")</f>
        <v>N</v>
      </c>
      <c r="C141" s="20">
        <f>IF(B14&gt;6,-20,-10)</f>
        <v>-10</v>
      </c>
      <c r="D141" s="20">
        <v>0</v>
      </c>
      <c r="E141" s="20">
        <v>2</v>
      </c>
      <c r="F141" s="20">
        <v>8</v>
      </c>
      <c r="G141" s="20">
        <v>10</v>
      </c>
    </row>
    <row r="142" spans="1:35" x14ac:dyDescent="0.2">
      <c r="A142" s="24" t="s">
        <v>134</v>
      </c>
      <c r="B142" s="20" t="str">
        <f>IF(OR(B6="B",B6="F1",B6="F2",B6="S1",B6="S2"),"Y","N")</f>
        <v>N</v>
      </c>
      <c r="C142" s="20">
        <f>IF(B14&gt;6,-11,-1)</f>
        <v>-1</v>
      </c>
      <c r="D142" s="20">
        <v>0</v>
      </c>
      <c r="E142" s="20">
        <v>0</v>
      </c>
      <c r="F142" s="20">
        <v>0</v>
      </c>
      <c r="G142" s="20">
        <v>0</v>
      </c>
    </row>
    <row r="143" spans="1:35" x14ac:dyDescent="0.2">
      <c r="A143" s="24" t="s">
        <v>13</v>
      </c>
      <c r="B143" s="20" t="str">
        <f>IF(B6="M","Y","N")</f>
        <v>N</v>
      </c>
      <c r="C143" s="20">
        <f>IF(B14&gt;6,-13,-3)</f>
        <v>-3</v>
      </c>
      <c r="D143" s="20">
        <v>0</v>
      </c>
      <c r="E143" s="20">
        <v>1</v>
      </c>
      <c r="F143" s="20">
        <v>2</v>
      </c>
      <c r="G143" s="20">
        <v>4</v>
      </c>
    </row>
    <row r="144" spans="1:35" x14ac:dyDescent="0.2">
      <c r="A144" s="24" t="s">
        <v>9</v>
      </c>
      <c r="B144" s="20" t="str">
        <f>IF(OR(B6="R1",B6="R2",B6="R3",B6="R4"),"Y","N")</f>
        <v>Y</v>
      </c>
      <c r="C144" s="20">
        <f>IF(B14&gt;6,-13,-3)</f>
        <v>-3</v>
      </c>
      <c r="D144" s="20">
        <v>0</v>
      </c>
      <c r="E144" s="20">
        <v>0</v>
      </c>
      <c r="F144" s="20">
        <v>0</v>
      </c>
      <c r="G144" s="20">
        <v>0</v>
      </c>
    </row>
    <row r="146" spans="1:15" x14ac:dyDescent="0.2">
      <c r="A146" s="2" t="s">
        <v>189</v>
      </c>
      <c r="C146" s="13" t="str">
        <f>IF(Input!J20="Category a","a",IF(Input!J20="Category b","b",IF(Input!J20="Category c","c",IF(Input!J20="Category d","d",IF(Input!J20="Category e","e","Error")))))</f>
        <v>c</v>
      </c>
      <c r="D146" s="54">
        <f>IF(C146="a",2,IF(C146="b",3,IF(C146="c",4,IF(C146="d",5,IF(C146="e",6,"Error")))))</f>
        <v>4</v>
      </c>
    </row>
    <row r="148" spans="1:15" x14ac:dyDescent="0.2">
      <c r="A148" s="16" t="s">
        <v>97</v>
      </c>
      <c r="B148" s="17"/>
      <c r="C148" s="17"/>
      <c r="D148" s="17"/>
      <c r="E148" s="17"/>
      <c r="F148" s="17"/>
      <c r="G148" s="17"/>
      <c r="H148" s="17"/>
      <c r="I148" s="46">
        <f>VLOOKUP("Y",B140:G144,D146,FALSE)</f>
        <v>0</v>
      </c>
      <c r="J148" s="42"/>
      <c r="K148" s="42"/>
      <c r="L148" s="42"/>
      <c r="M148" s="42"/>
      <c r="N148" s="42"/>
      <c r="O148" s="42"/>
    </row>
    <row r="150" spans="1:15" x14ac:dyDescent="0.2">
      <c r="A150" s="4" t="s">
        <v>236</v>
      </c>
    </row>
    <row r="152" spans="1:15" x14ac:dyDescent="0.2">
      <c r="A152" s="2" t="s">
        <v>31</v>
      </c>
      <c r="B152" s="13">
        <f>IF(OR(B8="NFPA 13",B8="NFPA 13R"),70,35)</f>
        <v>70</v>
      </c>
    </row>
    <row r="153" spans="1:15" x14ac:dyDescent="0.2">
      <c r="A153" s="5" t="s">
        <v>32</v>
      </c>
      <c r="B153" s="13">
        <f>IF(B6="B",50,20)</f>
        <v>20</v>
      </c>
    </row>
    <row r="154" spans="1:15" x14ac:dyDescent="0.2">
      <c r="A154" s="2" t="s">
        <v>176</v>
      </c>
      <c r="B154" s="14" t="str">
        <f>IF(B152=B155,"a",IF(B153=B155,"b",IF(B155=0,"c",IF(B157&lt;2.5,"c","Interp"))))</f>
        <v>a</v>
      </c>
      <c r="C154" s="3" t="str">
        <f>IF(OR(B154="a",B154="b",B154="c")," ",IF(B154="Interp",IF(B155&gt;B152,"NP",ROUND(IF(B155&gt;B153,((B155-B153)/(B152-B153))*(-2-0),IF(B155&gt;0,((B153-B155)/(B153-0))*2,IF(B155&lt;0,"ERROR",""))),2))))</f>
        <v xml:space="preserve"> </v>
      </c>
    </row>
    <row r="155" spans="1:15" x14ac:dyDescent="0.2">
      <c r="A155" s="2" t="s">
        <v>174</v>
      </c>
      <c r="B155" s="13">
        <f>Input!J24</f>
        <v>70</v>
      </c>
      <c r="D155" s="2"/>
    </row>
    <row r="156" spans="1:15" x14ac:dyDescent="0.2">
      <c r="A156" s="2" t="s">
        <v>175</v>
      </c>
      <c r="B156" s="13">
        <f>Input!J25</f>
        <v>5</v>
      </c>
    </row>
    <row r="157" spans="1:15" x14ac:dyDescent="0.2">
      <c r="A157" s="2" t="s">
        <v>177</v>
      </c>
      <c r="B157" s="13">
        <f>B155/B156</f>
        <v>14</v>
      </c>
    </row>
    <row r="158" spans="1:15" x14ac:dyDescent="0.2">
      <c r="A158" s="2"/>
      <c r="B158" s="3"/>
    </row>
    <row r="159" spans="1:15" x14ac:dyDescent="0.2">
      <c r="A159" s="16" t="s">
        <v>97</v>
      </c>
      <c r="B159" s="28"/>
      <c r="C159" s="17"/>
      <c r="D159" s="17"/>
      <c r="E159" s="17"/>
      <c r="F159" s="17"/>
      <c r="G159" s="17"/>
      <c r="H159" s="17"/>
      <c r="I159" s="49">
        <f>IF(B154="a",-2,IF(B154="b",0,IF(B154="c",2,C154)))</f>
        <v>-2</v>
      </c>
      <c r="J159" s="42"/>
      <c r="K159" s="42"/>
      <c r="L159" s="42"/>
      <c r="M159" s="42"/>
      <c r="N159" s="42"/>
      <c r="O159" s="42"/>
    </row>
    <row r="161" spans="1:16" x14ac:dyDescent="0.2">
      <c r="A161" s="4" t="s">
        <v>237</v>
      </c>
    </row>
    <row r="162" spans="1:16" x14ac:dyDescent="0.2">
      <c r="O162" t="s">
        <v>337</v>
      </c>
      <c r="P162" t="s">
        <v>338</v>
      </c>
    </row>
    <row r="163" spans="1:16" x14ac:dyDescent="0.2">
      <c r="A163" s="2" t="s">
        <v>142</v>
      </c>
      <c r="D163" s="1">
        <f>Input!J29</f>
        <v>270</v>
      </c>
      <c r="O163">
        <f>IF((B8="NFPA 13"),IF(OR(B6="A1",B6="A2",B6="A3",B6="A4",B6="E",B6="F1",B6="M",B6="R1",B6="R2",B6="R3",B6="R4",B6="S1"),250,IF(B6="B",300,IF(OR(B6="F2",B6="S2"),400,IF(B6="I2",200)))),IF(B8="No",IF(OR(B6="A1",B6="A2",B6="A3",B6="A4",B6="E",B6="F1",B6="M",B6="R1",B6="R2",B6="R3",B6="R4",B6="S1",B6="B",B6="I2"),200,IF(OR(B6="F2",B6="S2"),300)),"Not 13"))</f>
        <v>250</v>
      </c>
      <c r="P163" t="str">
        <f>IF((B8="NFPA 13R"),IF(OR(B6="R1",B6="R2",B6="R3",B6="R4"),250,IF(OR(B6="A1",B6="A2",B6="A3",B6="A4",B6="B",B6="E",B6="F1",B6="M",B6="S1"),200,IF(OR(B6="F2",B6="S2"),300,IF(B6="I2",200)))),"Not 13R")</f>
        <v>Not 13R</v>
      </c>
    </row>
    <row r="164" spans="1:16" x14ac:dyDescent="0.2">
      <c r="A164" s="2" t="s">
        <v>143</v>
      </c>
      <c r="D164" s="51">
        <f>IF(Input!H30="Yes",'Detailed Analysis'!P164,'Detailed Analysis'!O164)</f>
        <v>250</v>
      </c>
      <c r="H164" s="52">
        <f>IF(AND(B6="R3",Input!J30="1st/Basement"),125,IF(AND(OR(B6="S1",B6="S2"),Input!J30="1st/Basement"),100,75))</f>
        <v>75</v>
      </c>
      <c r="I164" s="53"/>
      <c r="J164" s="53" t="str">
        <f>IF(AND(B6="R2",Input!J30="2nd"),50,IF(AND(B6="R3",Input!J30="2nd"),125,IF(AND(OR(B6="B",B6="F1",B6="F2",B6="M",B6="S1",B6="S2"),Input!J30="2nd"),75,"Error")))</f>
        <v>Error</v>
      </c>
      <c r="O164" s="77">
        <f>IF((O163 = "Not 13"),P163,O163)</f>
        <v>250</v>
      </c>
      <c r="P164" s="78" t="str">
        <f>IF(Input!J30="1st/Basement",H164,IF(Input!J30="2nd",I164,IF(Input!J30="3rd",J164,"")))</f>
        <v/>
      </c>
    </row>
    <row r="166" spans="1:16" x14ac:dyDescent="0.2">
      <c r="A166" s="16" t="s">
        <v>97</v>
      </c>
      <c r="B166" s="17"/>
      <c r="C166" s="17"/>
      <c r="D166" s="17"/>
      <c r="E166" s="17"/>
      <c r="F166" s="17"/>
      <c r="G166" s="17"/>
      <c r="H166" s="17"/>
      <c r="I166" s="49">
        <f>IF(OR(D164="Error",D164=""),"Error",IF(AND(D164=125,D163&lt;=125),0,ROUND(20*((D164-D163)/D164),2)))</f>
        <v>-1.6</v>
      </c>
      <c r="J166" s="42"/>
      <c r="K166" s="42"/>
      <c r="L166" s="42"/>
      <c r="M166" s="42"/>
      <c r="N166" s="42"/>
      <c r="O166" s="42"/>
    </row>
    <row r="168" spans="1:16" x14ac:dyDescent="0.2">
      <c r="A168" s="4" t="s">
        <v>238</v>
      </c>
    </row>
    <row r="170" spans="1:16" x14ac:dyDescent="0.2">
      <c r="A170" s="232" t="s">
        <v>144</v>
      </c>
      <c r="B170" s="228"/>
      <c r="C170" s="222" t="s">
        <v>132</v>
      </c>
      <c r="D170" s="223"/>
      <c r="E170" s="223"/>
      <c r="F170" s="224"/>
    </row>
    <row r="171" spans="1:16" x14ac:dyDescent="0.2">
      <c r="A171" s="233"/>
      <c r="B171" s="234"/>
      <c r="C171" s="19" t="s">
        <v>109</v>
      </c>
      <c r="D171" s="19" t="s">
        <v>110</v>
      </c>
      <c r="E171" s="19" t="s">
        <v>111</v>
      </c>
      <c r="F171" s="19" t="s">
        <v>112</v>
      </c>
    </row>
    <row r="172" spans="1:16" ht="38.25" x14ac:dyDescent="0.2">
      <c r="A172" s="32" t="s">
        <v>148</v>
      </c>
      <c r="B172" s="25" t="str">
        <f>IF(Input!J36="Yes","Y","N")</f>
        <v>N</v>
      </c>
      <c r="C172" s="25">
        <v>-2</v>
      </c>
      <c r="D172" s="25">
        <v>0</v>
      </c>
      <c r="E172" s="25">
        <v>0</v>
      </c>
      <c r="F172" s="25">
        <v>2</v>
      </c>
    </row>
    <row r="173" spans="1:16" ht="38.25" x14ac:dyDescent="0.2">
      <c r="A173" s="27" t="s">
        <v>149</v>
      </c>
      <c r="B173" s="25" t="str">
        <f>IF(Input!J36="Yes","N","Y")</f>
        <v>Y</v>
      </c>
      <c r="C173" s="25">
        <v>-4</v>
      </c>
      <c r="D173" s="26" t="s">
        <v>145</v>
      </c>
      <c r="E173" s="25">
        <v>0</v>
      </c>
      <c r="F173" s="25">
        <v>4</v>
      </c>
    </row>
    <row r="175" spans="1:16" x14ac:dyDescent="0.2">
      <c r="A175" s="2" t="s">
        <v>150</v>
      </c>
      <c r="C175" s="13" t="str">
        <f>IF(Input!J35="Category a","a",IF(Input!J35="Category b","b",IF(Input!J35="Category c","c",IF(Input!J35="Category d","d","Error"))))</f>
        <v>c</v>
      </c>
      <c r="D175" s="54">
        <f>IF(C175="a",2,IF(C175="b",3,IF(C175="c",4,IF(C175="d",5,"Error"))))</f>
        <v>4</v>
      </c>
    </row>
    <row r="177" spans="1:15" x14ac:dyDescent="0.2">
      <c r="A177" s="16" t="s">
        <v>97</v>
      </c>
      <c r="B177" s="17"/>
      <c r="C177" s="17"/>
      <c r="D177" s="17"/>
      <c r="E177" s="17"/>
      <c r="F177" s="17"/>
      <c r="G177" s="17"/>
      <c r="H177" s="17"/>
      <c r="I177" s="46">
        <f>IF(B14=1,0,VLOOKUP("Y",B171:F173,D175,FALSE))</f>
        <v>0</v>
      </c>
      <c r="J177" s="42"/>
      <c r="K177" s="42"/>
      <c r="L177" s="42"/>
      <c r="M177" s="42"/>
      <c r="N177" s="42"/>
      <c r="O177" s="42"/>
    </row>
    <row r="179" spans="1:15" x14ac:dyDescent="0.2">
      <c r="A179" s="4" t="s">
        <v>239</v>
      </c>
    </row>
    <row r="181" spans="1:15" x14ac:dyDescent="0.2">
      <c r="A181" s="232" t="s">
        <v>153</v>
      </c>
      <c r="B181" s="228"/>
      <c r="C181" s="222" t="s">
        <v>132</v>
      </c>
      <c r="D181" s="223"/>
      <c r="E181" s="224"/>
    </row>
    <row r="182" spans="1:15" x14ac:dyDescent="0.2">
      <c r="A182" s="233"/>
      <c r="B182" s="234"/>
      <c r="C182" s="19" t="s">
        <v>109</v>
      </c>
      <c r="D182" s="19" t="s">
        <v>110</v>
      </c>
      <c r="E182" s="19" t="s">
        <v>111</v>
      </c>
    </row>
    <row r="183" spans="1:15" x14ac:dyDescent="0.2">
      <c r="A183" s="24" t="s">
        <v>151</v>
      </c>
      <c r="B183" s="20" t="str">
        <f>IF(Input!J44="Yes","Y","N")</f>
        <v>Y</v>
      </c>
      <c r="C183" s="19" t="s">
        <v>145</v>
      </c>
      <c r="D183" s="20">
        <v>0</v>
      </c>
      <c r="E183" s="20">
        <v>4</v>
      </c>
    </row>
    <row r="184" spans="1:15" x14ac:dyDescent="0.2">
      <c r="A184" s="24" t="s">
        <v>152</v>
      </c>
      <c r="B184" s="20" t="str">
        <f>IF(Input!J44="Yes","N","Y")</f>
        <v>N</v>
      </c>
      <c r="C184" s="20">
        <v>0</v>
      </c>
      <c r="D184" s="20">
        <v>1</v>
      </c>
      <c r="E184" s="20">
        <v>1</v>
      </c>
    </row>
    <row r="186" spans="1:15" x14ac:dyDescent="0.2">
      <c r="A186" s="2" t="s">
        <v>154</v>
      </c>
      <c r="C186" s="13" t="str">
        <f>IF(Input!J43="Category a","a",IF(Input!J43="Category b","b",IF(Input!J43="Category c","c","Error")))</f>
        <v>c</v>
      </c>
      <c r="D186" s="54">
        <f>IF(C186="a",2,IF(C186="b",3,IF(C186="c",4,"Error")))</f>
        <v>4</v>
      </c>
    </row>
    <row r="188" spans="1:15" x14ac:dyDescent="0.2">
      <c r="A188" s="16" t="s">
        <v>97</v>
      </c>
      <c r="B188" s="17"/>
      <c r="C188" s="17"/>
      <c r="D188" s="17"/>
      <c r="E188" s="17"/>
      <c r="F188" s="17"/>
      <c r="G188" s="17"/>
      <c r="H188" s="17"/>
      <c r="I188" s="46">
        <f>VLOOKUP("Y",B182:E184,D186,FALSE)</f>
        <v>4</v>
      </c>
      <c r="J188" s="42"/>
      <c r="K188" s="42"/>
      <c r="L188" s="42"/>
      <c r="M188" s="42"/>
      <c r="N188" s="42"/>
      <c r="O188" s="42"/>
    </row>
    <row r="190" spans="1:15" x14ac:dyDescent="0.2">
      <c r="A190" s="4" t="s">
        <v>240</v>
      </c>
    </row>
    <row r="191" spans="1:15" x14ac:dyDescent="0.2">
      <c r="A191" s="4"/>
    </row>
    <row r="192" spans="1:15" x14ac:dyDescent="0.2">
      <c r="A192" s="232" t="s">
        <v>21</v>
      </c>
      <c r="B192" s="38"/>
      <c r="C192" s="235" t="s">
        <v>132</v>
      </c>
      <c r="D192" s="223"/>
      <c r="E192" s="224"/>
    </row>
    <row r="193" spans="1:15" x14ac:dyDescent="0.2">
      <c r="A193" s="233"/>
      <c r="B193" s="39"/>
      <c r="C193" s="19" t="s">
        <v>109</v>
      </c>
      <c r="D193" s="19" t="s">
        <v>110</v>
      </c>
      <c r="E193" s="19" t="s">
        <v>111</v>
      </c>
    </row>
    <row r="194" spans="1:15" x14ac:dyDescent="0.2">
      <c r="A194" s="24" t="s">
        <v>178</v>
      </c>
      <c r="B194" s="20" t="str">
        <f>IF(OR(B6="A1",B6="A2",B6="R1", B6="R2",B6="R3",B6="R4"),"Y","N")</f>
        <v>Y</v>
      </c>
      <c r="C194" s="20">
        <v>-10</v>
      </c>
      <c r="D194" s="20">
        <v>0</v>
      </c>
      <c r="E194" s="20">
        <v>10</v>
      </c>
    </row>
    <row r="195" spans="1:15" x14ac:dyDescent="0.2">
      <c r="A195" s="24" t="s">
        <v>179</v>
      </c>
      <c r="B195" s="20" t="str">
        <f>IF(OR(B6="A3",B6="A4",B6="B",B6="E",B6="F1",B6="F2",B6="M",B6="S1",B6="S2"),"Y","N")</f>
        <v>N</v>
      </c>
      <c r="C195" s="20">
        <v>-5</v>
      </c>
      <c r="D195" s="20">
        <v>0</v>
      </c>
      <c r="E195" s="20">
        <v>5</v>
      </c>
    </row>
    <row r="196" spans="1:15" x14ac:dyDescent="0.2">
      <c r="A196" s="24" t="s">
        <v>267</v>
      </c>
      <c r="B196" s="19" t="str">
        <f>IF(B6="I2","Y","N")</f>
        <v>N</v>
      </c>
      <c r="C196" s="19" t="s">
        <v>145</v>
      </c>
      <c r="D196" s="20">
        <v>0</v>
      </c>
      <c r="E196" s="20">
        <v>5</v>
      </c>
    </row>
    <row r="198" spans="1:15" x14ac:dyDescent="0.2">
      <c r="A198" s="2" t="s">
        <v>51</v>
      </c>
      <c r="C198" s="13" t="str">
        <f>IF(Input!J48="Category a","a",IF(Input!J48="Category b","b",IF(Input!J48="Category c","c","Error")))</f>
        <v>a</v>
      </c>
      <c r="D198" s="54">
        <f>IF(C198="a",2,IF(C198="b",3,IF(C198="c",4,"Error")))</f>
        <v>2</v>
      </c>
    </row>
    <row r="199" spans="1:15" x14ac:dyDescent="0.2">
      <c r="A199" s="2" t="s">
        <v>180</v>
      </c>
      <c r="C199" s="13" t="str">
        <f>IF(Input!J49="Yes","Y","N")</f>
        <v>Y</v>
      </c>
    </row>
    <row r="200" spans="1:15" x14ac:dyDescent="0.2">
      <c r="A200" s="2" t="s">
        <v>181</v>
      </c>
      <c r="C200" s="13" t="str">
        <f>IF(Input!J51="Yes","Y","N")</f>
        <v>Y</v>
      </c>
    </row>
    <row r="201" spans="1:15" x14ac:dyDescent="0.2">
      <c r="A201" s="2"/>
      <c r="C201" s="3"/>
    </row>
    <row r="202" spans="1:15" x14ac:dyDescent="0.2">
      <c r="A202" s="16" t="s">
        <v>97</v>
      </c>
      <c r="B202" s="17"/>
      <c r="C202" s="28"/>
      <c r="D202" s="17"/>
      <c r="E202" s="17"/>
      <c r="F202" s="17"/>
      <c r="G202" s="17"/>
      <c r="H202" s="17"/>
      <c r="I202" s="46">
        <f>IF(OR(C199="N",C200="N"),0,VLOOKUP("Y",B193:E196,D198,FALSE))</f>
        <v>-10</v>
      </c>
      <c r="J202" s="42"/>
      <c r="K202" s="42"/>
      <c r="L202" s="42"/>
      <c r="M202" s="42"/>
      <c r="N202" s="42"/>
      <c r="O202" s="42"/>
    </row>
    <row r="204" spans="1:15" x14ac:dyDescent="0.2">
      <c r="A204" s="4" t="s">
        <v>241</v>
      </c>
    </row>
    <row r="206" spans="1:15" x14ac:dyDescent="0.2">
      <c r="A206" s="232" t="s">
        <v>21</v>
      </c>
      <c r="B206" s="228"/>
      <c r="C206" s="235" t="s">
        <v>132</v>
      </c>
      <c r="D206" s="223"/>
      <c r="E206" s="223"/>
      <c r="F206" s="223"/>
      <c r="G206" s="223"/>
      <c r="H206" s="224"/>
    </row>
    <row r="207" spans="1:15" x14ac:dyDescent="0.2">
      <c r="A207" s="233"/>
      <c r="B207" s="234"/>
      <c r="C207" s="19" t="s">
        <v>109</v>
      </c>
      <c r="D207" s="19" t="s">
        <v>110</v>
      </c>
      <c r="E207" s="19" t="s">
        <v>111</v>
      </c>
      <c r="F207" s="19" t="s">
        <v>112</v>
      </c>
      <c r="G207" s="19" t="s">
        <v>113</v>
      </c>
      <c r="H207" s="19" t="s">
        <v>130</v>
      </c>
    </row>
    <row r="208" spans="1:15" x14ac:dyDescent="0.2">
      <c r="A208" s="24" t="s">
        <v>122</v>
      </c>
      <c r="B208" s="20" t="str">
        <f>IF(OR(B6="A1",B6="A3",B6="F1",B6="F2",B6="M",B6="R1", B6="R2",B6="R3",B6="R4",B6="S1"),"Y","N")</f>
        <v>Y</v>
      </c>
      <c r="C208" s="20">
        <v>-6</v>
      </c>
      <c r="D208" s="20">
        <v>-3</v>
      </c>
      <c r="E208" s="20">
        <v>0</v>
      </c>
      <c r="F208" s="20">
        <v>2</v>
      </c>
      <c r="G208" s="20">
        <v>4</v>
      </c>
      <c r="H208" s="20">
        <v>6</v>
      </c>
    </row>
    <row r="209" spans="1:15" x14ac:dyDescent="0.2">
      <c r="A209" s="24" t="s">
        <v>10</v>
      </c>
      <c r="B209" s="20" t="str">
        <f>IF(B6="A2","Y","N")</f>
        <v>N</v>
      </c>
      <c r="C209" s="20">
        <v>-4</v>
      </c>
      <c r="D209" s="20">
        <v>-2</v>
      </c>
      <c r="E209" s="20">
        <v>0</v>
      </c>
      <c r="F209" s="20">
        <v>1</v>
      </c>
      <c r="G209" s="20">
        <v>2</v>
      </c>
      <c r="H209" s="20">
        <v>4</v>
      </c>
    </row>
    <row r="210" spans="1:15" x14ac:dyDescent="0.2">
      <c r="A210" s="24" t="s">
        <v>106</v>
      </c>
      <c r="B210" s="20" t="str">
        <f>IF(OR(B6="A4",B6="B",B6="E",B6="S2"),"Y","N")</f>
        <v>N</v>
      </c>
      <c r="C210" s="20">
        <v>-12</v>
      </c>
      <c r="D210" s="20">
        <v>-6</v>
      </c>
      <c r="E210" s="20">
        <v>0</v>
      </c>
      <c r="F210" s="20">
        <v>3</v>
      </c>
      <c r="G210" s="20">
        <v>6</v>
      </c>
      <c r="H210" s="20">
        <v>12</v>
      </c>
    </row>
    <row r="211" spans="1:15" x14ac:dyDescent="0.2">
      <c r="A211" s="62" t="s">
        <v>267</v>
      </c>
      <c r="B211" s="20" t="str">
        <f>IF(B6="I2","Y","N")</f>
        <v>N</v>
      </c>
      <c r="C211" s="19" t="s">
        <v>145</v>
      </c>
      <c r="D211" s="19" t="s">
        <v>145</v>
      </c>
      <c r="E211" s="19" t="s">
        <v>145</v>
      </c>
      <c r="F211" s="20">
        <v>8</v>
      </c>
      <c r="G211" s="20">
        <v>10</v>
      </c>
      <c r="H211" s="19" t="s">
        <v>145</v>
      </c>
    </row>
    <row r="213" spans="1:15" x14ac:dyDescent="0.2">
      <c r="A213" s="2" t="s">
        <v>155</v>
      </c>
      <c r="C213" s="13" t="str">
        <f>IF(Input!P4="Category a","a", IF(Input!P4="Category b","b", IF(Input!P4="Category c","c",IF(Input!P4="Category d","d",IF(Input!P4="Category e","e", IF(Input!P4="Category f","f","Error"))))))</f>
        <v>c</v>
      </c>
      <c r="D213" s="54">
        <f>IF(C213="a",2,IF(C213="b",3,IF(C213="c",4,IF(C213="d",5,IF(C213="e",6,IF(C213="f",7,"Error"))))))</f>
        <v>4</v>
      </c>
    </row>
    <row r="215" spans="1:15" x14ac:dyDescent="0.2">
      <c r="A215" s="16" t="s">
        <v>97</v>
      </c>
      <c r="B215" s="17"/>
      <c r="C215" s="17"/>
      <c r="D215" s="17"/>
      <c r="E215" s="17"/>
      <c r="F215" s="17"/>
      <c r="G215" s="17"/>
      <c r="H215" s="17"/>
      <c r="I215" s="46">
        <f>VLOOKUP("Y",B207:H211,D213,FALSE)</f>
        <v>0</v>
      </c>
      <c r="J215" s="42"/>
      <c r="K215" s="42"/>
      <c r="L215" s="42"/>
      <c r="M215" s="42"/>
      <c r="N215" s="42"/>
      <c r="O215" s="42"/>
    </row>
    <row r="217" spans="1:15" x14ac:dyDescent="0.2">
      <c r="A217" s="4" t="s">
        <v>242</v>
      </c>
    </row>
    <row r="219" spans="1:15" x14ac:dyDescent="0.2">
      <c r="A219" s="236" t="s">
        <v>21</v>
      </c>
      <c r="B219" s="228"/>
      <c r="C219" s="235" t="s">
        <v>132</v>
      </c>
      <c r="D219" s="223"/>
      <c r="E219" s="223"/>
      <c r="F219" s="224"/>
    </row>
    <row r="220" spans="1:15" x14ac:dyDescent="0.2">
      <c r="A220" s="233"/>
      <c r="B220" s="234"/>
      <c r="C220" s="30" t="s">
        <v>109</v>
      </c>
      <c r="D220" s="20" t="s">
        <v>110</v>
      </c>
      <c r="E220" s="20" t="s">
        <v>111</v>
      </c>
      <c r="F220" s="20" t="s">
        <v>112</v>
      </c>
    </row>
    <row r="221" spans="1:15" x14ac:dyDescent="0.2">
      <c r="A221" s="23" t="s">
        <v>156</v>
      </c>
      <c r="B221" s="20" t="str">
        <f>IF(OR(B6="A1",B6="A3",B6="F1",B6="F2",B6="M",B6="R1", B6="R2",B6="R3",B6="R4",B6="S1"),"Y","N")</f>
        <v>Y</v>
      </c>
      <c r="C221" s="20">
        <v>-6</v>
      </c>
      <c r="D221" s="20">
        <v>0</v>
      </c>
      <c r="E221" s="20">
        <v>4</v>
      </c>
      <c r="F221" s="20">
        <v>6</v>
      </c>
    </row>
    <row r="222" spans="1:15" x14ac:dyDescent="0.2">
      <c r="A222" s="23" t="s">
        <v>10</v>
      </c>
      <c r="B222" s="20" t="str">
        <f>IF(B6="A2","Y","N")</f>
        <v>N</v>
      </c>
      <c r="C222" s="20">
        <v>-4</v>
      </c>
      <c r="D222" s="20">
        <v>0</v>
      </c>
      <c r="E222" s="20">
        <v>2</v>
      </c>
      <c r="F222" s="20">
        <v>4</v>
      </c>
    </row>
    <row r="223" spans="1:15" x14ac:dyDescent="0.2">
      <c r="A223" s="23" t="s">
        <v>106</v>
      </c>
      <c r="B223" s="20" t="str">
        <f>IF(OR(B6="A4",B6="B",B6="E",B6="S2"),"Y","N")</f>
        <v>N</v>
      </c>
      <c r="C223" s="20">
        <v>-12</v>
      </c>
      <c r="D223" s="20">
        <v>0</v>
      </c>
      <c r="E223" s="20">
        <v>6</v>
      </c>
      <c r="F223" s="20">
        <v>12</v>
      </c>
    </row>
    <row r="224" spans="1:15" x14ac:dyDescent="0.2">
      <c r="A224" s="63" t="s">
        <v>267</v>
      </c>
      <c r="B224" s="20" t="str">
        <f>IF(B6="I2","Y","N")</f>
        <v>N</v>
      </c>
      <c r="C224" s="20">
        <v>-2</v>
      </c>
      <c r="D224" s="20">
        <v>0</v>
      </c>
      <c r="E224" s="20">
        <v>1</v>
      </c>
      <c r="F224" s="20">
        <v>2</v>
      </c>
    </row>
    <row r="226" spans="1:15" x14ac:dyDescent="0.2">
      <c r="A226" t="s">
        <v>157</v>
      </c>
      <c r="C226" s="13" t="str">
        <f>IF(Input!P8="Category a","a",IF(Input!P8="Category b","b",IF(Input!P8="Category c","c",IF(Input!P8="Category d","d","Error"))))</f>
        <v>a</v>
      </c>
      <c r="D226" s="54">
        <f>IF(C226="a",2,IF(C226="b",3,IF(C226="c",4,IF(C226="d",5,"Error"))))</f>
        <v>2</v>
      </c>
    </row>
    <row r="228" spans="1:15" x14ac:dyDescent="0.2">
      <c r="A228" s="22" t="s">
        <v>97</v>
      </c>
      <c r="B228" s="17"/>
      <c r="C228" s="17"/>
      <c r="D228" s="17"/>
      <c r="E228" s="17"/>
      <c r="F228" s="17"/>
      <c r="G228" s="17"/>
      <c r="H228" s="17"/>
      <c r="I228" s="46">
        <f>VLOOKUP("Y",B221:F224,D226,FALSE)</f>
        <v>-6</v>
      </c>
      <c r="J228" s="42"/>
      <c r="K228" s="42"/>
      <c r="L228" s="42"/>
      <c r="M228" s="42"/>
      <c r="N228" s="42"/>
      <c r="O228" s="42"/>
    </row>
    <row r="230" spans="1:15" x14ac:dyDescent="0.2">
      <c r="A230" s="4" t="s">
        <v>243</v>
      </c>
    </row>
    <row r="232" spans="1:15" x14ac:dyDescent="0.2">
      <c r="A232" s="229" t="s">
        <v>281</v>
      </c>
      <c r="B232" s="227"/>
      <c r="C232" s="225" t="s">
        <v>55</v>
      </c>
      <c r="D232" s="226"/>
      <c r="E232" s="226"/>
      <c r="F232" s="226"/>
      <c r="G232" s="226"/>
      <c r="H232" s="226"/>
      <c r="I232" s="226"/>
      <c r="J232" s="8"/>
      <c r="K232" s="8"/>
      <c r="L232" s="8"/>
      <c r="M232" s="8"/>
      <c r="N232" s="8"/>
      <c r="O232" s="69"/>
    </row>
    <row r="233" spans="1:15" ht="25.5" x14ac:dyDescent="0.2">
      <c r="A233" s="230"/>
      <c r="B233" s="228"/>
      <c r="C233" s="31" t="s">
        <v>39</v>
      </c>
      <c r="D233" s="31" t="s">
        <v>56</v>
      </c>
      <c r="E233" s="31" t="s">
        <v>270</v>
      </c>
      <c r="F233" s="31" t="s">
        <v>269</v>
      </c>
      <c r="G233" s="31" t="s">
        <v>268</v>
      </c>
      <c r="H233" s="31" t="s">
        <v>57</v>
      </c>
      <c r="I233" s="31" t="s">
        <v>271</v>
      </c>
      <c r="J233" s="44"/>
      <c r="K233" s="44"/>
      <c r="L233" s="44"/>
      <c r="M233" s="44"/>
      <c r="N233" s="44"/>
      <c r="O233" s="44"/>
    </row>
    <row r="234" spans="1:15" x14ac:dyDescent="0.2">
      <c r="A234" s="231"/>
      <c r="B234" s="33"/>
      <c r="C234" s="31" t="str">
        <f>IF(Input!P14="None","Y","N")</f>
        <v>Y</v>
      </c>
      <c r="D234" s="31" t="str">
        <f>IF(Input!P14="1 Hour","Y","N")</f>
        <v>N</v>
      </c>
      <c r="E234" s="31" t="str">
        <f>IF(Input!P14="AS","Y","N")</f>
        <v>N</v>
      </c>
      <c r="F234" s="31" t="str">
        <f>IF(Input!P14="AS w/ CRS","Y","N")</f>
        <v>N</v>
      </c>
      <c r="G234" s="31" t="str">
        <f>IF(Input!P14="1 Hr &amp; AS","Y","N")</f>
        <v>N</v>
      </c>
      <c r="H234" s="31" t="str">
        <f>IF(Input!P14="2 Hours","Y","N")</f>
        <v>N</v>
      </c>
      <c r="I234" s="31" t="str">
        <f>IF(Input!P14="2 Hrs &amp; AS","Y","N")</f>
        <v>N</v>
      </c>
      <c r="J234" s="44"/>
      <c r="K234" s="44"/>
      <c r="L234" s="44"/>
      <c r="M234" s="44"/>
      <c r="N234" s="44"/>
      <c r="O234" s="44"/>
    </row>
    <row r="235" spans="1:15" x14ac:dyDescent="0.2">
      <c r="A235" s="24" t="s">
        <v>271</v>
      </c>
      <c r="B235" s="20" t="str">
        <f>IF(Input!P15="2 Hrs &amp; AS","Y","N")</f>
        <v>N</v>
      </c>
      <c r="C235" s="20">
        <v>-4</v>
      </c>
      <c r="D235" s="20">
        <v>-3</v>
      </c>
      <c r="E235" s="20">
        <v>-2</v>
      </c>
      <c r="F235" s="20">
        <v>-2</v>
      </c>
      <c r="G235" s="20">
        <v>-1</v>
      </c>
      <c r="H235" s="20">
        <v>-2</v>
      </c>
      <c r="I235" s="20">
        <v>0</v>
      </c>
      <c r="J235" s="8"/>
      <c r="K235" s="8"/>
      <c r="L235" s="8"/>
      <c r="M235" s="8"/>
      <c r="N235" s="8"/>
      <c r="O235" s="69"/>
    </row>
    <row r="236" spans="1:15" x14ac:dyDescent="0.2">
      <c r="A236" s="24" t="s">
        <v>272</v>
      </c>
      <c r="B236" s="20" t="str">
        <f>IF(Input!P15="2 Hrs, or 1 Hr &amp; AS","Y","N")</f>
        <v>N</v>
      </c>
      <c r="C236" s="20">
        <v>-3</v>
      </c>
      <c r="D236" s="20">
        <v>-2</v>
      </c>
      <c r="E236" s="20">
        <v>-1</v>
      </c>
      <c r="F236" s="20">
        <v>-1</v>
      </c>
      <c r="G236" s="20">
        <v>0</v>
      </c>
      <c r="H236" s="20">
        <v>0</v>
      </c>
      <c r="I236" s="20">
        <v>0</v>
      </c>
      <c r="J236" s="8"/>
      <c r="K236" s="8"/>
      <c r="L236" s="8"/>
      <c r="M236" s="8"/>
      <c r="N236" s="8"/>
      <c r="O236" s="69"/>
    </row>
    <row r="237" spans="1:15" x14ac:dyDescent="0.2">
      <c r="A237" s="24" t="s">
        <v>268</v>
      </c>
      <c r="B237" s="20" t="str">
        <f>IF(Input!P15="1 Hr &amp; AS","Y","N")</f>
        <v>N</v>
      </c>
      <c r="C237" s="20">
        <v>-3</v>
      </c>
      <c r="D237" s="20">
        <v>-2</v>
      </c>
      <c r="E237" s="20">
        <v>-1</v>
      </c>
      <c r="F237" s="20">
        <v>-1</v>
      </c>
      <c r="G237" s="20">
        <v>0</v>
      </c>
      <c r="H237" s="20">
        <v>-1</v>
      </c>
      <c r="I237" s="20">
        <v>0</v>
      </c>
      <c r="J237" s="8"/>
      <c r="K237" s="8"/>
      <c r="L237" s="8"/>
      <c r="M237" s="8"/>
      <c r="N237" s="8"/>
      <c r="O237" s="69"/>
    </row>
    <row r="238" spans="1:15" x14ac:dyDescent="0.2">
      <c r="A238" s="24" t="s">
        <v>56</v>
      </c>
      <c r="B238" s="20" t="str">
        <f>IF(Input!P15="1 Hour","Y","N")</f>
        <v>Y</v>
      </c>
      <c r="C238" s="20">
        <v>-1</v>
      </c>
      <c r="D238" s="20">
        <v>0</v>
      </c>
      <c r="E238" s="20">
        <v>-1</v>
      </c>
      <c r="F238" s="20">
        <v>0</v>
      </c>
      <c r="G238" s="20">
        <v>0</v>
      </c>
      <c r="H238" s="20">
        <v>0</v>
      </c>
      <c r="I238" s="20">
        <v>0</v>
      </c>
      <c r="J238" s="8"/>
      <c r="K238" s="8"/>
      <c r="L238" s="8"/>
      <c r="M238" s="8"/>
      <c r="N238" s="8"/>
      <c r="O238" s="69"/>
    </row>
    <row r="239" spans="1:15" x14ac:dyDescent="0.2">
      <c r="A239" s="24" t="s">
        <v>273</v>
      </c>
      <c r="B239" s="20" t="str">
        <f>IF(Input!P15="1 Hr, or AS w/ CRS","Y","N")</f>
        <v>N</v>
      </c>
      <c r="C239" s="20">
        <v>-1</v>
      </c>
      <c r="D239" s="20">
        <v>0</v>
      </c>
      <c r="E239" s="20">
        <v>-1</v>
      </c>
      <c r="F239" s="20">
        <v>0</v>
      </c>
      <c r="G239" s="20">
        <v>0</v>
      </c>
      <c r="H239" s="20">
        <v>0</v>
      </c>
      <c r="I239" s="20">
        <v>0</v>
      </c>
      <c r="J239" s="8"/>
      <c r="K239" s="8"/>
      <c r="L239" s="8"/>
      <c r="M239" s="8"/>
      <c r="N239" s="8"/>
      <c r="O239" s="69"/>
    </row>
    <row r="240" spans="1:15" x14ac:dyDescent="0.2">
      <c r="A240" s="24" t="s">
        <v>269</v>
      </c>
      <c r="B240" s="20" t="str">
        <f>IF(Input!P15="AS w/ CRS","Y","N")</f>
        <v>N</v>
      </c>
      <c r="C240" s="20">
        <v>-1</v>
      </c>
      <c r="D240" s="20">
        <v>-1</v>
      </c>
      <c r="E240" s="20">
        <v>-1</v>
      </c>
      <c r="F240" s="20">
        <v>0</v>
      </c>
      <c r="G240" s="20">
        <v>0</v>
      </c>
      <c r="H240" s="20">
        <v>-1</v>
      </c>
      <c r="I240" s="20">
        <v>0</v>
      </c>
      <c r="J240" s="8"/>
      <c r="K240" s="8"/>
      <c r="L240" s="8"/>
      <c r="M240" s="8"/>
      <c r="N240" s="8"/>
      <c r="O240" s="69"/>
    </row>
    <row r="241" spans="1:15" x14ac:dyDescent="0.2">
      <c r="A241" s="24" t="s">
        <v>274</v>
      </c>
      <c r="B241" s="20" t="str">
        <f>IF(Input!P15="1 Hr or AS","Y","N")</f>
        <v>N</v>
      </c>
      <c r="C241" s="20">
        <v>-1</v>
      </c>
      <c r="D241" s="20">
        <v>0</v>
      </c>
      <c r="E241" s="20">
        <v>0</v>
      </c>
      <c r="F241" s="20">
        <v>0</v>
      </c>
      <c r="G241" s="20">
        <v>0</v>
      </c>
      <c r="H241" s="20">
        <v>0</v>
      </c>
      <c r="I241" s="20">
        <v>0</v>
      </c>
      <c r="J241" s="8"/>
      <c r="K241" s="8"/>
      <c r="L241" s="8"/>
      <c r="M241" s="8"/>
      <c r="N241" s="8"/>
      <c r="O241" s="69"/>
    </row>
    <row r="243" spans="1:15" x14ac:dyDescent="0.2">
      <c r="A243" t="s">
        <v>190</v>
      </c>
      <c r="C243" s="3" t="str">
        <f>Input!P12</f>
        <v>Yes</v>
      </c>
    </row>
    <row r="244" spans="1:15" x14ac:dyDescent="0.2">
      <c r="A244" s="2" t="s">
        <v>160</v>
      </c>
      <c r="C244" s="13" t="str">
        <f>Input!P14</f>
        <v>None</v>
      </c>
      <c r="E244" s="54">
        <f>IF(C234="Y",2,IF(D234="Y",3,IF(E234="Y",4,IF(F234="Y",5,IF(G234="Y",6,IF(H234="Y",7,IF(I234="Y",7)))))))</f>
        <v>2</v>
      </c>
    </row>
    <row r="246" spans="1:15" x14ac:dyDescent="0.2">
      <c r="A246" s="16" t="s">
        <v>97</v>
      </c>
      <c r="B246" s="17"/>
      <c r="C246" s="17"/>
      <c r="D246" s="17"/>
      <c r="E246" s="17"/>
      <c r="F246" s="17"/>
      <c r="G246" s="17"/>
      <c r="H246" s="17"/>
      <c r="I246" s="46">
        <f>IF(C243="No",0,VLOOKUP("Y",B235:I241,E244,FALSE))</f>
        <v>-1</v>
      </c>
      <c r="J246" s="42"/>
      <c r="K246" s="42"/>
      <c r="L246" s="42"/>
      <c r="M246" s="42"/>
      <c r="N246" s="42"/>
      <c r="O246" s="42"/>
    </row>
    <row r="247" spans="1:15" x14ac:dyDescent="0.2">
      <c r="A247" s="10"/>
      <c r="B247" s="42"/>
      <c r="C247" s="42"/>
      <c r="D247" s="42"/>
      <c r="E247" s="42"/>
      <c r="F247" s="42"/>
      <c r="G247" s="42"/>
      <c r="H247" s="42"/>
      <c r="I247" s="66"/>
      <c r="J247" s="42"/>
      <c r="K247" s="42"/>
      <c r="L247" s="42"/>
      <c r="M247" s="42"/>
      <c r="N247" s="42"/>
      <c r="O247" s="42"/>
    </row>
    <row r="248" spans="1:15" x14ac:dyDescent="0.2">
      <c r="A248" s="11" t="s">
        <v>292</v>
      </c>
    </row>
    <row r="249" spans="1:15" x14ac:dyDescent="0.2">
      <c r="A249" s="237" t="s">
        <v>21</v>
      </c>
      <c r="B249" s="67"/>
      <c r="C249" s="239" t="s">
        <v>132</v>
      </c>
      <c r="D249" s="223"/>
      <c r="E249" s="224"/>
    </row>
    <row r="250" spans="1:15" x14ac:dyDescent="0.2">
      <c r="A250" s="238"/>
      <c r="B250" s="33"/>
      <c r="C250" s="61" t="s">
        <v>109</v>
      </c>
      <c r="D250" s="19" t="s">
        <v>110</v>
      </c>
      <c r="E250" s="19" t="s">
        <v>111</v>
      </c>
    </row>
    <row r="251" spans="1:15" x14ac:dyDescent="0.2">
      <c r="A251" s="62" t="s">
        <v>282</v>
      </c>
      <c r="B251" s="21" t="str">
        <f>IF(OR(B6="A1",B6="A2",B6="A3",B6="A4",B6="B",B6="E",B6="F1",B6="F2",B6="M",B6="R1", B6="R2",B6="R3",B6="R4",B6="S1",B6="S2"),"Y","N")</f>
        <v>Y</v>
      </c>
      <c r="C251" s="20">
        <v>0</v>
      </c>
      <c r="D251" s="20">
        <v>0</v>
      </c>
      <c r="E251" s="20">
        <v>0</v>
      </c>
    </row>
    <row r="252" spans="1:15" x14ac:dyDescent="0.2">
      <c r="A252" s="62" t="s">
        <v>267</v>
      </c>
      <c r="B252" s="20" t="str">
        <f>IF(B6="I2","Y","N")</f>
        <v>N</v>
      </c>
      <c r="C252" s="20">
        <v>0</v>
      </c>
      <c r="D252" s="19" t="s">
        <v>145</v>
      </c>
      <c r="E252" s="19" t="s">
        <v>145</v>
      </c>
    </row>
    <row r="254" spans="1:15" x14ac:dyDescent="0.2">
      <c r="A254" t="s">
        <v>283</v>
      </c>
      <c r="C254" s="6" t="str">
        <f>IF(Input!P20="Category a","a",IF(Input!P20="Category b","b",IF(Input!P20="Category c","c","Error")))</f>
        <v>b</v>
      </c>
      <c r="D254" s="52">
        <f>IF(C254="a",2,IF(C254="b",3,IF(C254="c",4,"Error")))</f>
        <v>3</v>
      </c>
    </row>
    <row r="256" spans="1:15" x14ac:dyDescent="0.2">
      <c r="A256" s="22" t="s">
        <v>97</v>
      </c>
      <c r="B256" s="17"/>
      <c r="C256" s="17"/>
      <c r="D256" s="17"/>
      <c r="E256" s="17"/>
      <c r="F256" s="17"/>
      <c r="G256" s="17"/>
      <c r="H256" s="17"/>
      <c r="I256" s="65">
        <f>VLOOKUP("Y",B250:E252,D254,FALSE)</f>
        <v>0</v>
      </c>
    </row>
    <row r="257" spans="1:9" x14ac:dyDescent="0.2">
      <c r="A257" s="42"/>
      <c r="B257" s="42"/>
      <c r="C257" s="42"/>
      <c r="D257" s="42"/>
      <c r="E257" s="42"/>
      <c r="F257" s="42"/>
      <c r="G257" s="42"/>
      <c r="H257" s="42"/>
      <c r="I257" s="42"/>
    </row>
    <row r="258" spans="1:9" x14ac:dyDescent="0.2">
      <c r="A258" s="64" t="s">
        <v>297</v>
      </c>
      <c r="B258" s="42"/>
      <c r="C258" s="42"/>
      <c r="D258" s="42"/>
      <c r="E258" s="42"/>
      <c r="F258" s="42"/>
      <c r="G258" s="42"/>
      <c r="H258" s="42"/>
      <c r="I258" s="42"/>
    </row>
    <row r="259" spans="1:9" x14ac:dyDescent="0.2">
      <c r="A259" s="64"/>
      <c r="B259" s="42"/>
      <c r="C259" s="42"/>
      <c r="D259" s="42"/>
      <c r="E259" s="42"/>
      <c r="F259" s="42"/>
      <c r="G259" s="42"/>
      <c r="H259" s="42"/>
      <c r="I259" s="42"/>
    </row>
    <row r="260" spans="1:9" x14ac:dyDescent="0.2">
      <c r="A260" s="11" t="s">
        <v>293</v>
      </c>
      <c r="B260" s="42"/>
      <c r="C260" s="42"/>
      <c r="D260" s="42"/>
      <c r="E260" s="42"/>
      <c r="F260" s="42"/>
      <c r="G260" s="42"/>
      <c r="H260" s="42"/>
      <c r="I260" s="42"/>
    </row>
    <row r="261" spans="1:9" x14ac:dyDescent="0.2">
      <c r="A261" s="237" t="s">
        <v>21</v>
      </c>
      <c r="B261" s="67"/>
      <c r="C261" s="239" t="s">
        <v>132</v>
      </c>
      <c r="D261" s="223"/>
      <c r="E261" s="224"/>
      <c r="F261" s="42"/>
      <c r="G261" s="42"/>
      <c r="H261" s="42"/>
      <c r="I261" s="42"/>
    </row>
    <row r="262" spans="1:9" x14ac:dyDescent="0.2">
      <c r="A262" s="238"/>
      <c r="B262" s="33"/>
      <c r="C262" s="61" t="s">
        <v>109</v>
      </c>
      <c r="D262" s="19" t="s">
        <v>110</v>
      </c>
      <c r="E262" s="19" t="s">
        <v>111</v>
      </c>
      <c r="F262" s="42"/>
      <c r="G262" s="42"/>
      <c r="H262" s="42"/>
      <c r="I262" s="42"/>
    </row>
    <row r="263" spans="1:9" x14ac:dyDescent="0.2">
      <c r="A263" s="62" t="s">
        <v>267</v>
      </c>
      <c r="B263" s="20" t="str">
        <f>IF(B6="I2","Y","N")</f>
        <v>N</v>
      </c>
      <c r="C263" s="20">
        <v>1</v>
      </c>
      <c r="D263" s="19">
        <v>2</v>
      </c>
      <c r="E263" s="19">
        <v>3</v>
      </c>
      <c r="F263" s="42"/>
      <c r="G263" s="42"/>
      <c r="H263" s="42"/>
      <c r="I263" s="42"/>
    </row>
    <row r="264" spans="1:9" x14ac:dyDescent="0.2">
      <c r="A264" s="42"/>
      <c r="B264" s="42"/>
      <c r="C264" s="42"/>
      <c r="D264" s="42"/>
      <c r="E264" s="42"/>
      <c r="F264" s="42"/>
      <c r="G264" s="42"/>
      <c r="H264" s="42"/>
      <c r="I264" s="42"/>
    </row>
    <row r="265" spans="1:9" x14ac:dyDescent="0.2">
      <c r="A265" s="10" t="s">
        <v>294</v>
      </c>
      <c r="B265" s="9" t="str">
        <f>IF(Input!P25="Category a","a",IF(Input!P25="Category b","b",IF(Input!P25="Category c","c","Error")))</f>
        <v>a</v>
      </c>
      <c r="C265" s="68">
        <f>IF(B265="a",2,IF(B265="b",3,IF(B265="c",4,"Error")))</f>
        <v>2</v>
      </c>
      <c r="D265" s="42"/>
      <c r="E265" s="42"/>
      <c r="F265" s="42"/>
      <c r="G265" s="42"/>
      <c r="H265" s="42"/>
      <c r="I265" s="42"/>
    </row>
    <row r="266" spans="1:9" x14ac:dyDescent="0.2">
      <c r="A266" s="42"/>
      <c r="B266" s="42"/>
      <c r="C266" s="42"/>
      <c r="D266" s="42"/>
      <c r="E266" s="42"/>
      <c r="F266" s="42"/>
      <c r="G266" s="42"/>
      <c r="H266" s="42"/>
      <c r="I266" s="42"/>
    </row>
    <row r="267" spans="1:9" x14ac:dyDescent="0.2">
      <c r="A267" s="16" t="s">
        <v>97</v>
      </c>
      <c r="B267" s="17"/>
      <c r="C267" s="17"/>
      <c r="D267" s="17"/>
      <c r="E267" s="17"/>
      <c r="F267" s="17"/>
      <c r="G267" s="17"/>
      <c r="H267" s="17"/>
      <c r="I267" s="65">
        <f>IF(B6="I2",VLOOKUP("Y",B262:E263,C265,FALSE),0)</f>
        <v>0</v>
      </c>
    </row>
    <row r="268" spans="1:9" x14ac:dyDescent="0.2">
      <c r="A268" s="10"/>
      <c r="B268" s="42"/>
      <c r="C268" s="42"/>
      <c r="D268" s="42"/>
      <c r="E268" s="42"/>
      <c r="F268" s="42"/>
      <c r="G268" s="42"/>
      <c r="H268" s="42"/>
      <c r="I268" s="42"/>
    </row>
    <row r="269" spans="1:9" x14ac:dyDescent="0.2">
      <c r="A269" s="11" t="s">
        <v>296</v>
      </c>
      <c r="B269" s="42"/>
      <c r="C269" s="42"/>
      <c r="D269" s="42"/>
      <c r="E269" s="42"/>
      <c r="F269" s="42"/>
      <c r="G269" s="42"/>
      <c r="H269" s="42"/>
      <c r="I269" s="42"/>
    </row>
    <row r="270" spans="1:9" x14ac:dyDescent="0.2">
      <c r="A270" s="237" t="s">
        <v>21</v>
      </c>
      <c r="B270" s="67"/>
      <c r="C270" s="239" t="s">
        <v>132</v>
      </c>
      <c r="D270" s="223"/>
      <c r="E270" s="224"/>
      <c r="F270" s="42"/>
      <c r="G270" s="42"/>
      <c r="H270" s="42"/>
      <c r="I270" s="42"/>
    </row>
    <row r="271" spans="1:9" x14ac:dyDescent="0.2">
      <c r="A271" s="238"/>
      <c r="B271" s="33"/>
      <c r="C271" s="61" t="s">
        <v>109</v>
      </c>
      <c r="D271" s="19" t="s">
        <v>110</v>
      </c>
      <c r="E271" s="19" t="s">
        <v>111</v>
      </c>
      <c r="F271" s="42"/>
      <c r="G271" s="42"/>
      <c r="H271" s="42"/>
      <c r="I271" s="42"/>
    </row>
    <row r="272" spans="1:9" x14ac:dyDescent="0.2">
      <c r="A272" s="62" t="s">
        <v>267</v>
      </c>
      <c r="B272" s="20" t="str">
        <f>IF(B6="I2","Y","N")</f>
        <v>N</v>
      </c>
      <c r="C272" s="20">
        <v>1</v>
      </c>
      <c r="D272" s="19">
        <v>2</v>
      </c>
      <c r="E272" s="19">
        <v>3</v>
      </c>
      <c r="F272" s="42"/>
      <c r="G272" s="42"/>
      <c r="H272" s="42"/>
      <c r="I272" s="42"/>
    </row>
    <row r="273" spans="1:9" x14ac:dyDescent="0.2">
      <c r="A273" s="42"/>
      <c r="B273" s="42"/>
      <c r="C273" s="42"/>
      <c r="D273" s="42"/>
      <c r="E273" s="42"/>
      <c r="F273" s="42"/>
      <c r="G273" s="42"/>
      <c r="H273" s="42"/>
      <c r="I273" s="42"/>
    </row>
    <row r="274" spans="1:9" x14ac:dyDescent="0.2">
      <c r="A274" s="10" t="s">
        <v>295</v>
      </c>
      <c r="C274" s="9" t="str">
        <f>IF(Input!P28="Category a","a",IF(Input!P28="Category b","b",IF(Input!P28="Category c","c","Error")))</f>
        <v>b</v>
      </c>
      <c r="D274" s="68">
        <f>IF(C274="a",2,IF(C274="b",3,IF(C274="c",4,"Error")))</f>
        <v>3</v>
      </c>
      <c r="E274" s="42"/>
      <c r="F274" s="42"/>
      <c r="G274" s="42"/>
      <c r="H274" s="42"/>
      <c r="I274" s="42"/>
    </row>
    <row r="275" spans="1:9" x14ac:dyDescent="0.2">
      <c r="A275" s="42"/>
      <c r="B275" s="42"/>
      <c r="C275" s="42"/>
      <c r="D275" s="42"/>
      <c r="E275" s="42"/>
      <c r="F275" s="42"/>
      <c r="G275" s="42"/>
      <c r="H275" s="42"/>
      <c r="I275" s="42"/>
    </row>
    <row r="276" spans="1:9" x14ac:dyDescent="0.2">
      <c r="A276" s="16" t="s">
        <v>97</v>
      </c>
      <c r="B276" s="17"/>
      <c r="C276" s="17"/>
      <c r="D276" s="17"/>
      <c r="E276" s="17"/>
      <c r="F276" s="17"/>
      <c r="G276" s="17"/>
      <c r="H276" s="17"/>
      <c r="I276" s="65">
        <f>IF(B6="I2",VLOOKUP("Y",B271:E272,D274,FALSE),0)</f>
        <v>0</v>
      </c>
    </row>
    <row r="277" spans="1:9" x14ac:dyDescent="0.2">
      <c r="A277" s="10"/>
      <c r="B277" s="42"/>
      <c r="C277" s="42"/>
      <c r="D277" s="42"/>
      <c r="E277" s="42"/>
      <c r="F277" s="42"/>
      <c r="G277" s="42"/>
      <c r="H277" s="42"/>
      <c r="I277" s="42"/>
    </row>
    <row r="278" spans="1:9" x14ac:dyDescent="0.2">
      <c r="A278" s="11" t="s">
        <v>298</v>
      </c>
      <c r="B278" s="42"/>
      <c r="C278" s="42"/>
      <c r="D278" s="42"/>
      <c r="E278" s="42"/>
      <c r="F278" s="42"/>
      <c r="G278" s="42"/>
      <c r="H278" s="42"/>
      <c r="I278" s="42"/>
    </row>
    <row r="279" spans="1:9" x14ac:dyDescent="0.2">
      <c r="A279" s="237" t="s">
        <v>21</v>
      </c>
      <c r="B279" s="67"/>
      <c r="C279" s="239" t="s">
        <v>132</v>
      </c>
      <c r="D279" s="223"/>
      <c r="E279" s="224"/>
      <c r="F279" s="42"/>
      <c r="G279" s="42"/>
      <c r="H279" s="42"/>
      <c r="I279" s="42"/>
    </row>
    <row r="280" spans="1:9" x14ac:dyDescent="0.2">
      <c r="A280" s="238"/>
      <c r="B280" s="33"/>
      <c r="C280" s="61" t="s">
        <v>109</v>
      </c>
      <c r="D280" s="19" t="s">
        <v>110</v>
      </c>
      <c r="E280" s="19" t="s">
        <v>111</v>
      </c>
      <c r="F280" s="42"/>
      <c r="G280" s="42"/>
      <c r="H280" s="42"/>
      <c r="I280" s="42"/>
    </row>
    <row r="281" spans="1:9" x14ac:dyDescent="0.2">
      <c r="A281" s="62" t="s">
        <v>267</v>
      </c>
      <c r="B281" s="20" t="str">
        <f>IF(B6="I2","Y","N")</f>
        <v>N</v>
      </c>
      <c r="C281" s="20">
        <v>1</v>
      </c>
      <c r="D281" s="19">
        <v>2</v>
      </c>
      <c r="E281" s="19">
        <v>3</v>
      </c>
      <c r="F281" s="42"/>
      <c r="G281" s="42"/>
      <c r="H281" s="42"/>
      <c r="I281" s="42"/>
    </row>
    <row r="282" spans="1:9" x14ac:dyDescent="0.2">
      <c r="A282" s="42"/>
      <c r="B282" s="42"/>
      <c r="C282" s="42"/>
      <c r="D282" s="42"/>
      <c r="E282" s="42"/>
      <c r="F282" s="42"/>
      <c r="G282" s="42"/>
      <c r="H282" s="42"/>
      <c r="I282" s="42"/>
    </row>
    <row r="283" spans="1:9" x14ac:dyDescent="0.2">
      <c r="A283" s="10" t="s">
        <v>299</v>
      </c>
      <c r="C283" s="9" t="str">
        <f>IF(Input!P31="Category a","a",IF(Input!P31="Category b","b",IF(Input!P31="Category c","c","Error")))</f>
        <v>a</v>
      </c>
      <c r="D283" s="68">
        <f>IF(C283="a",2,IF(C283="b",3,IF(C283="c",4,"Error")))</f>
        <v>2</v>
      </c>
      <c r="E283" s="42"/>
      <c r="F283" s="42"/>
      <c r="G283" s="42"/>
      <c r="H283" s="42"/>
      <c r="I283" s="42"/>
    </row>
    <row r="284" spans="1:9" x14ac:dyDescent="0.2">
      <c r="A284" s="42"/>
      <c r="B284" s="42"/>
      <c r="C284" s="42"/>
      <c r="D284" s="42"/>
      <c r="E284" s="42"/>
      <c r="F284" s="42"/>
      <c r="G284" s="42"/>
      <c r="H284" s="42"/>
      <c r="I284" s="42"/>
    </row>
    <row r="285" spans="1:9" x14ac:dyDescent="0.2">
      <c r="A285" s="16" t="s">
        <v>97</v>
      </c>
      <c r="B285" s="17"/>
      <c r="C285" s="17"/>
      <c r="D285" s="17"/>
      <c r="E285" s="17"/>
      <c r="F285" s="17"/>
      <c r="G285" s="17"/>
      <c r="H285" s="17"/>
      <c r="I285" s="65">
        <f>IF(B6="I2",VLOOKUP("Y",B280:E281,D283,FALSE),0)</f>
        <v>0</v>
      </c>
    </row>
    <row r="286" spans="1:9" x14ac:dyDescent="0.2">
      <c r="A286" s="10"/>
      <c r="B286" s="42"/>
      <c r="C286" s="42"/>
      <c r="D286" s="42"/>
      <c r="E286" s="42"/>
      <c r="F286" s="42"/>
      <c r="G286" s="42"/>
      <c r="H286" s="42"/>
      <c r="I286" s="42"/>
    </row>
    <row r="288" spans="1:9" x14ac:dyDescent="0.2">
      <c r="A288" s="146" t="s">
        <v>244</v>
      </c>
      <c r="B288" s="147"/>
      <c r="C288" s="147"/>
      <c r="D288" s="147"/>
      <c r="E288" s="147"/>
      <c r="F288" s="147"/>
      <c r="G288" s="147"/>
      <c r="H288" s="147"/>
      <c r="I288" s="148"/>
    </row>
    <row r="289" spans="1:15" x14ac:dyDescent="0.2">
      <c r="A289" s="149"/>
      <c r="B289" s="42"/>
      <c r="C289" s="42"/>
      <c r="D289" s="42"/>
      <c r="E289" s="42"/>
      <c r="F289" s="42"/>
      <c r="G289" s="42"/>
      <c r="H289" s="42"/>
      <c r="I289" s="150"/>
    </row>
    <row r="290" spans="1:15" x14ac:dyDescent="0.2">
      <c r="A290" s="110"/>
      <c r="B290" s="127"/>
      <c r="C290" s="111"/>
      <c r="D290" s="122" t="s">
        <v>161</v>
      </c>
      <c r="E290" s="111"/>
      <c r="F290" s="126" t="s">
        <v>162</v>
      </c>
      <c r="G290" s="127"/>
      <c r="H290" s="122" t="s">
        <v>163</v>
      </c>
      <c r="I290" s="123"/>
      <c r="K290" s="9"/>
      <c r="L290" s="9"/>
      <c r="M290" s="9"/>
      <c r="N290" s="9"/>
      <c r="O290" s="9"/>
    </row>
    <row r="291" spans="1:15" x14ac:dyDescent="0.2">
      <c r="A291" s="83" t="s">
        <v>245</v>
      </c>
      <c r="B291" s="84"/>
      <c r="C291" s="85"/>
      <c r="D291" s="112">
        <f>I16</f>
        <v>3.68</v>
      </c>
      <c r="E291" s="113"/>
      <c r="F291" s="118">
        <f>I16</f>
        <v>3.68</v>
      </c>
      <c r="G291" s="118"/>
      <c r="H291" s="112">
        <f>I16</f>
        <v>3.68</v>
      </c>
      <c r="I291" s="113"/>
      <c r="K291" s="8"/>
      <c r="L291" s="8"/>
      <c r="M291" s="8"/>
      <c r="N291" s="8"/>
      <c r="O291" s="69"/>
    </row>
    <row r="292" spans="1:15" x14ac:dyDescent="0.2">
      <c r="A292" s="86" t="s">
        <v>246</v>
      </c>
      <c r="B292" s="87"/>
      <c r="C292" s="88"/>
      <c r="D292" s="114">
        <f>I29</f>
        <v>10.5</v>
      </c>
      <c r="E292" s="115"/>
      <c r="F292" s="119">
        <f>I29</f>
        <v>10.5</v>
      </c>
      <c r="G292" s="119"/>
      <c r="H292" s="114">
        <f>I29</f>
        <v>10.5</v>
      </c>
      <c r="I292" s="115"/>
      <c r="K292" s="8"/>
      <c r="L292" s="8"/>
      <c r="M292" s="8"/>
      <c r="N292" s="8"/>
      <c r="O292" s="69"/>
    </row>
    <row r="293" spans="1:15" x14ac:dyDescent="0.2">
      <c r="A293" s="100" t="s">
        <v>247</v>
      </c>
      <c r="B293" s="82"/>
      <c r="C293" s="101"/>
      <c r="D293" s="116">
        <f>I44</f>
        <v>0</v>
      </c>
      <c r="E293" s="117"/>
      <c r="F293" s="125">
        <f>I44</f>
        <v>0</v>
      </c>
      <c r="G293" s="125"/>
      <c r="H293" s="116">
        <f>I44</f>
        <v>0</v>
      </c>
      <c r="I293" s="117"/>
      <c r="K293" s="8"/>
      <c r="L293" s="8"/>
      <c r="M293" s="8"/>
      <c r="N293" s="8"/>
      <c r="O293" s="69"/>
    </row>
    <row r="294" spans="1:15" x14ac:dyDescent="0.2">
      <c r="A294" s="83" t="s">
        <v>248</v>
      </c>
      <c r="B294" s="84"/>
      <c r="C294" s="85"/>
      <c r="D294" s="112">
        <f>I59</f>
        <v>0</v>
      </c>
      <c r="E294" s="113"/>
      <c r="F294" s="118">
        <f>I59</f>
        <v>0</v>
      </c>
      <c r="G294" s="118"/>
      <c r="H294" s="112">
        <f>I59</f>
        <v>0</v>
      </c>
      <c r="I294" s="113"/>
      <c r="K294" s="8"/>
      <c r="L294" s="8"/>
      <c r="M294" s="8"/>
      <c r="N294" s="8"/>
      <c r="O294" s="69"/>
    </row>
    <row r="295" spans="1:15" x14ac:dyDescent="0.2">
      <c r="A295" s="86" t="s">
        <v>249</v>
      </c>
      <c r="B295" s="87"/>
      <c r="C295" s="88"/>
      <c r="D295" s="114">
        <f>I73</f>
        <v>0</v>
      </c>
      <c r="E295" s="115"/>
      <c r="F295" s="119">
        <f>I73</f>
        <v>0</v>
      </c>
      <c r="G295" s="119"/>
      <c r="H295" s="114">
        <f>I73</f>
        <v>0</v>
      </c>
      <c r="I295" s="115"/>
      <c r="K295" s="8"/>
      <c r="L295" s="8"/>
      <c r="M295" s="8"/>
      <c r="N295" s="8"/>
      <c r="O295" s="69"/>
    </row>
    <row r="296" spans="1:15" x14ac:dyDescent="0.2">
      <c r="A296" s="94" t="s">
        <v>250</v>
      </c>
      <c r="B296" s="95"/>
      <c r="C296" s="96"/>
      <c r="D296" s="116">
        <f>I89</f>
        <v>2</v>
      </c>
      <c r="E296" s="117"/>
      <c r="F296" s="138">
        <f>I89</f>
        <v>2</v>
      </c>
      <c r="G296" s="125"/>
      <c r="H296" s="116">
        <f>I89</f>
        <v>2</v>
      </c>
      <c r="I296" s="117"/>
      <c r="K296" s="8"/>
      <c r="L296" s="8"/>
      <c r="M296" s="8"/>
      <c r="N296" s="8"/>
      <c r="O296" s="69"/>
    </row>
    <row r="297" spans="1:15" x14ac:dyDescent="0.2">
      <c r="A297" s="102" t="s">
        <v>251</v>
      </c>
      <c r="B297" s="103"/>
      <c r="C297" s="104"/>
      <c r="D297" s="112">
        <f>I95</f>
        <v>-5</v>
      </c>
      <c r="E297" s="113"/>
      <c r="F297" s="118">
        <f>I95</f>
        <v>-5</v>
      </c>
      <c r="G297" s="118"/>
      <c r="H297" s="112">
        <f>I95</f>
        <v>-5</v>
      </c>
      <c r="I297" s="113"/>
      <c r="K297" s="8"/>
      <c r="L297" s="8"/>
      <c r="M297" s="8"/>
      <c r="N297" s="8"/>
      <c r="O297" s="69"/>
    </row>
    <row r="298" spans="1:15" x14ac:dyDescent="0.2">
      <c r="A298" s="105" t="s">
        <v>252</v>
      </c>
      <c r="B298" s="106"/>
      <c r="C298" s="107"/>
      <c r="D298" s="114">
        <f>I108</f>
        <v>-5</v>
      </c>
      <c r="E298" s="115"/>
      <c r="F298" s="119">
        <f>I108</f>
        <v>-5</v>
      </c>
      <c r="G298" s="119"/>
      <c r="H298" s="114">
        <f>I108</f>
        <v>-5</v>
      </c>
      <c r="I298" s="115"/>
      <c r="K298" s="8"/>
      <c r="L298" s="8"/>
      <c r="M298" s="8"/>
      <c r="N298" s="8"/>
      <c r="O298" s="69"/>
    </row>
    <row r="299" spans="1:15" x14ac:dyDescent="0.2">
      <c r="A299" s="94" t="s">
        <v>253</v>
      </c>
      <c r="B299" s="95"/>
      <c r="C299" s="96"/>
      <c r="D299" s="116">
        <f>I120</f>
        <v>-5</v>
      </c>
      <c r="E299" s="117"/>
      <c r="F299" s="125">
        <f>I120</f>
        <v>-5</v>
      </c>
      <c r="G299" s="125"/>
      <c r="H299" s="116">
        <f>I120</f>
        <v>-5</v>
      </c>
      <c r="I299" s="117"/>
      <c r="K299" s="8"/>
      <c r="L299" s="8"/>
      <c r="M299" s="8"/>
      <c r="N299" s="8"/>
      <c r="O299" s="69"/>
    </row>
    <row r="300" spans="1:15" x14ac:dyDescent="0.2">
      <c r="A300" s="97" t="s">
        <v>254</v>
      </c>
      <c r="B300" s="98"/>
      <c r="C300" s="99"/>
      <c r="D300" s="120" t="s">
        <v>182</v>
      </c>
      <c r="E300" s="113"/>
      <c r="F300" s="118">
        <f>I135</f>
        <v>0</v>
      </c>
      <c r="G300" s="118"/>
      <c r="H300" s="112">
        <f>I135</f>
        <v>0</v>
      </c>
      <c r="I300" s="113"/>
      <c r="K300" s="8"/>
      <c r="L300" s="8"/>
      <c r="M300" s="8"/>
      <c r="N300" s="8"/>
      <c r="O300" s="69"/>
    </row>
    <row r="301" spans="1:15" x14ac:dyDescent="0.2">
      <c r="A301" s="89" t="s">
        <v>255</v>
      </c>
      <c r="B301" s="81"/>
      <c r="C301" s="90"/>
      <c r="D301" s="121" t="s">
        <v>182</v>
      </c>
      <c r="E301" s="115"/>
      <c r="F301" s="119">
        <f>I148</f>
        <v>0</v>
      </c>
      <c r="G301" s="119"/>
      <c r="H301" s="114">
        <f>I148</f>
        <v>0</v>
      </c>
      <c r="I301" s="115"/>
      <c r="K301" s="8"/>
      <c r="L301" s="8"/>
      <c r="M301" s="8"/>
      <c r="N301" s="8"/>
      <c r="O301" s="69"/>
    </row>
    <row r="302" spans="1:15" x14ac:dyDescent="0.2">
      <c r="A302" s="94" t="s">
        <v>256</v>
      </c>
      <c r="B302" s="95"/>
      <c r="C302" s="96"/>
      <c r="D302" s="124" t="s">
        <v>182</v>
      </c>
      <c r="E302" s="117"/>
      <c r="F302" s="125">
        <f>I159</f>
        <v>-2</v>
      </c>
      <c r="G302" s="125"/>
      <c r="H302" s="116">
        <f>I159</f>
        <v>-2</v>
      </c>
      <c r="I302" s="117"/>
      <c r="K302" s="8"/>
      <c r="L302" s="8"/>
      <c r="M302" s="8"/>
      <c r="N302" s="8"/>
      <c r="O302" s="69"/>
    </row>
    <row r="303" spans="1:15" x14ac:dyDescent="0.2">
      <c r="A303" s="97" t="s">
        <v>257</v>
      </c>
      <c r="B303" s="98"/>
      <c r="C303" s="99"/>
      <c r="D303" s="120" t="s">
        <v>182</v>
      </c>
      <c r="E303" s="113"/>
      <c r="F303" s="118">
        <f>I166</f>
        <v>-1.6</v>
      </c>
      <c r="G303" s="118"/>
      <c r="H303" s="112">
        <f>I166</f>
        <v>-1.6</v>
      </c>
      <c r="I303" s="113"/>
      <c r="K303" s="8"/>
      <c r="L303" s="8"/>
      <c r="M303" s="8"/>
      <c r="N303" s="8"/>
      <c r="O303" s="69"/>
    </row>
    <row r="304" spans="1:15" x14ac:dyDescent="0.2">
      <c r="A304" s="89" t="s">
        <v>258</v>
      </c>
      <c r="B304" s="81"/>
      <c r="C304" s="90"/>
      <c r="D304" s="114">
        <f>I177</f>
        <v>0</v>
      </c>
      <c r="E304" s="115"/>
      <c r="F304" s="119">
        <f>I177</f>
        <v>0</v>
      </c>
      <c r="G304" s="119"/>
      <c r="H304" s="114">
        <f>I177</f>
        <v>0</v>
      </c>
      <c r="I304" s="115"/>
      <c r="K304" s="8"/>
      <c r="L304" s="8"/>
      <c r="M304" s="8"/>
      <c r="N304" s="8"/>
      <c r="O304" s="69"/>
    </row>
    <row r="305" spans="1:15" x14ac:dyDescent="0.2">
      <c r="A305" s="94" t="s">
        <v>259</v>
      </c>
      <c r="B305" s="95"/>
      <c r="C305" s="96"/>
      <c r="D305" s="124" t="s">
        <v>182</v>
      </c>
      <c r="E305" s="117"/>
      <c r="F305" s="125">
        <f>I188</f>
        <v>4</v>
      </c>
      <c r="G305" s="125"/>
      <c r="H305" s="116">
        <f>I188</f>
        <v>4</v>
      </c>
      <c r="I305" s="117"/>
      <c r="K305" s="8"/>
      <c r="L305" s="8"/>
      <c r="M305" s="8"/>
      <c r="N305" s="8"/>
      <c r="O305" s="69"/>
    </row>
    <row r="306" spans="1:15" x14ac:dyDescent="0.2">
      <c r="A306" s="97" t="s">
        <v>219</v>
      </c>
      <c r="B306" s="98"/>
      <c r="C306" s="99"/>
      <c r="D306" s="112">
        <f>I202</f>
        <v>-10</v>
      </c>
      <c r="E306" s="113"/>
      <c r="F306" s="139" t="s">
        <v>183</v>
      </c>
      <c r="G306" s="118"/>
      <c r="H306" s="112">
        <f>I202</f>
        <v>-10</v>
      </c>
      <c r="I306" s="113"/>
      <c r="K306" s="8"/>
      <c r="L306" s="8"/>
      <c r="M306" s="8"/>
      <c r="N306" s="8"/>
      <c r="O306" s="69"/>
    </row>
    <row r="307" spans="1:15" x14ac:dyDescent="0.2">
      <c r="A307" s="89" t="s">
        <v>260</v>
      </c>
      <c r="B307" s="81"/>
      <c r="C307" s="90"/>
      <c r="D307" s="114">
        <f>I215</f>
        <v>0</v>
      </c>
      <c r="E307" s="115"/>
      <c r="F307" s="119">
        <f>I215/2</f>
        <v>0</v>
      </c>
      <c r="G307" s="119"/>
      <c r="H307" s="114">
        <f>I215</f>
        <v>0</v>
      </c>
      <c r="I307" s="115"/>
      <c r="K307" s="8"/>
      <c r="L307" s="8"/>
      <c r="M307" s="8"/>
      <c r="N307" s="8"/>
      <c r="O307" s="69"/>
    </row>
    <row r="308" spans="1:15" x14ac:dyDescent="0.2">
      <c r="A308" s="89" t="s">
        <v>261</v>
      </c>
      <c r="B308" s="81"/>
      <c r="C308" s="90"/>
      <c r="D308" s="114">
        <f>I228</f>
        <v>-6</v>
      </c>
      <c r="E308" s="115"/>
      <c r="F308" s="119">
        <f>I228</f>
        <v>-6</v>
      </c>
      <c r="G308" s="119"/>
      <c r="H308" s="114">
        <f>I228</f>
        <v>-6</v>
      </c>
      <c r="I308" s="115"/>
      <c r="K308" s="8"/>
      <c r="L308" s="8"/>
      <c r="M308" s="8"/>
      <c r="N308" s="8"/>
      <c r="O308" s="69"/>
    </row>
    <row r="309" spans="1:15" x14ac:dyDescent="0.2">
      <c r="A309" s="89" t="s">
        <v>262</v>
      </c>
      <c r="B309" s="81"/>
      <c r="C309" s="90"/>
      <c r="D309" s="114">
        <f>I246</f>
        <v>-1</v>
      </c>
      <c r="E309" s="115"/>
      <c r="F309" s="119">
        <f>I246</f>
        <v>-1</v>
      </c>
      <c r="G309" s="119"/>
      <c r="H309" s="114">
        <f>I246</f>
        <v>-1</v>
      </c>
      <c r="I309" s="115"/>
      <c r="K309" s="8"/>
      <c r="L309" s="8"/>
      <c r="M309" s="8"/>
      <c r="N309" s="8"/>
      <c r="O309" s="69"/>
    </row>
    <row r="310" spans="1:15" x14ac:dyDescent="0.2">
      <c r="A310" s="89" t="s">
        <v>300</v>
      </c>
      <c r="B310" s="81"/>
      <c r="C310" s="81"/>
      <c r="D310" s="114">
        <f>I256</f>
        <v>0</v>
      </c>
      <c r="E310" s="115"/>
      <c r="F310" s="114">
        <f>I256</f>
        <v>0</v>
      </c>
      <c r="G310" s="115"/>
      <c r="H310" s="114">
        <f>I256</f>
        <v>0</v>
      </c>
      <c r="I310" s="115"/>
      <c r="K310" s="8"/>
      <c r="L310" s="8"/>
      <c r="M310" s="8"/>
      <c r="N310" s="8"/>
      <c r="O310" s="69"/>
    </row>
    <row r="311" spans="1:15" x14ac:dyDescent="0.2">
      <c r="A311" s="89" t="s">
        <v>301</v>
      </c>
      <c r="B311" s="81"/>
      <c r="C311" s="81"/>
      <c r="D311" s="121" t="s">
        <v>182</v>
      </c>
      <c r="E311" s="115"/>
      <c r="F311" s="114">
        <f>IF(I267*I276*I285&gt;=9,"NP",I267)</f>
        <v>0</v>
      </c>
      <c r="G311" s="115"/>
      <c r="H311" s="114">
        <f>IF(I267*I276*I285&gt;=9,"NP",I267)</f>
        <v>0</v>
      </c>
      <c r="I311" s="115"/>
      <c r="K311" s="8"/>
      <c r="L311" s="8"/>
      <c r="M311" s="8"/>
      <c r="N311" s="8"/>
      <c r="O311" s="69"/>
    </row>
    <row r="312" spans="1:15" x14ac:dyDescent="0.2">
      <c r="A312" s="89" t="s">
        <v>302</v>
      </c>
      <c r="B312" s="81"/>
      <c r="C312" s="81"/>
      <c r="D312" s="121" t="s">
        <v>182</v>
      </c>
      <c r="E312" s="115"/>
      <c r="F312" s="114">
        <f>IF(I267*I276*I285&gt;=9,"NP",I276)</f>
        <v>0</v>
      </c>
      <c r="G312" s="115"/>
      <c r="H312" s="114">
        <f>IF(I267*I276*I285&gt;=9,"NP",I276)</f>
        <v>0</v>
      </c>
      <c r="I312" s="115"/>
      <c r="K312" s="8"/>
      <c r="L312" s="8"/>
      <c r="M312" s="8"/>
      <c r="N312" s="8"/>
      <c r="O312" s="69"/>
    </row>
    <row r="313" spans="1:15" x14ac:dyDescent="0.2">
      <c r="A313" s="94" t="s">
        <v>303</v>
      </c>
      <c r="B313" s="95"/>
      <c r="C313" s="96"/>
      <c r="D313" s="121" t="s">
        <v>182</v>
      </c>
      <c r="E313" s="115"/>
      <c r="F313" s="116">
        <f>IF(I267*I276*I285&gt;=9,"NP",I285)</f>
        <v>0</v>
      </c>
      <c r="G313" s="117"/>
      <c r="H313" s="116">
        <f>IF(I267*I276*I285&gt;=9,"NP",I285)</f>
        <v>0</v>
      </c>
      <c r="I313" s="117"/>
      <c r="K313" s="8"/>
      <c r="L313" s="8"/>
      <c r="M313" s="8"/>
      <c r="N313" s="8"/>
      <c r="O313" s="69"/>
    </row>
    <row r="314" spans="1:15" x14ac:dyDescent="0.2">
      <c r="A314" s="91" t="s">
        <v>184</v>
      </c>
      <c r="B314" s="92"/>
      <c r="C314" s="93"/>
      <c r="D314" s="130">
        <f>SUM(D291:E313)</f>
        <v>-15.82</v>
      </c>
      <c r="E314" s="131"/>
      <c r="F314" s="132">
        <f>IF(OR(F310="NP",F311="NP"),"ERROR",SUM(F291:G313))</f>
        <v>-5.42</v>
      </c>
      <c r="G314" s="132"/>
      <c r="H314" s="128">
        <f>IF(OR(H310="NP",H311="NP"),"ERROR",SUM(H291:I313))</f>
        <v>-15.42</v>
      </c>
      <c r="I314" s="129"/>
      <c r="K314" s="45"/>
      <c r="L314" s="45"/>
      <c r="M314" s="45"/>
      <c r="N314" s="45"/>
      <c r="O314" s="45"/>
    </row>
    <row r="315" spans="1:15" x14ac:dyDescent="0.2">
      <c r="A315" s="149"/>
      <c r="B315" s="42"/>
      <c r="C315" s="42"/>
      <c r="D315" s="42"/>
      <c r="E315" s="42"/>
      <c r="F315" s="42"/>
      <c r="G315" s="42"/>
      <c r="H315" s="42"/>
      <c r="I315" s="150"/>
    </row>
    <row r="316" spans="1:15" x14ac:dyDescent="0.2">
      <c r="A316" s="151" t="s">
        <v>263</v>
      </c>
      <c r="B316" s="42"/>
      <c r="C316" s="42"/>
      <c r="D316" s="42"/>
      <c r="E316" s="42"/>
      <c r="F316" s="42"/>
      <c r="G316" s="42"/>
      <c r="H316" s="42"/>
      <c r="I316" s="150"/>
    </row>
    <row r="317" spans="1:15" x14ac:dyDescent="0.2">
      <c r="A317" s="149"/>
      <c r="B317" s="42"/>
      <c r="C317" s="42"/>
      <c r="D317" s="42"/>
      <c r="E317" s="42"/>
      <c r="F317" s="42"/>
      <c r="G317" s="42"/>
      <c r="H317" s="42"/>
      <c r="I317" s="150"/>
    </row>
    <row r="318" spans="1:15" ht="24.75" customHeight="1" x14ac:dyDescent="0.2">
      <c r="A318" s="26" t="s">
        <v>21</v>
      </c>
      <c r="B318" s="39"/>
      <c r="C318" s="133" t="s">
        <v>164</v>
      </c>
      <c r="D318" s="134"/>
      <c r="E318" s="135" t="s">
        <v>166</v>
      </c>
      <c r="F318" s="136"/>
      <c r="G318" s="133" t="s">
        <v>165</v>
      </c>
      <c r="H318" s="137"/>
      <c r="I318" s="150"/>
    </row>
    <row r="319" spans="1:15" x14ac:dyDescent="0.2">
      <c r="A319" s="24" t="s">
        <v>11</v>
      </c>
      <c r="B319" s="108" t="str">
        <f>IF(B6="A1","Y","N")</f>
        <v>N</v>
      </c>
      <c r="C319" s="108">
        <v>20</v>
      </c>
      <c r="D319" s="108"/>
      <c r="E319" s="108">
        <v>31</v>
      </c>
      <c r="F319" s="108"/>
      <c r="G319" s="108">
        <v>31</v>
      </c>
      <c r="H319" s="108"/>
      <c r="I319" s="150"/>
    </row>
    <row r="320" spans="1:15" x14ac:dyDescent="0.2">
      <c r="A320" s="24" t="s">
        <v>10</v>
      </c>
      <c r="B320" s="108" t="str">
        <f>IF(B6="A2","Y","N")</f>
        <v>N</v>
      </c>
      <c r="C320" s="108">
        <v>21</v>
      </c>
      <c r="D320" s="108"/>
      <c r="E320" s="108">
        <v>32</v>
      </c>
      <c r="F320" s="108"/>
      <c r="G320" s="108">
        <v>32</v>
      </c>
      <c r="H320" s="108"/>
      <c r="I320" s="150"/>
    </row>
    <row r="321" spans="1:9" x14ac:dyDescent="0.2">
      <c r="A321" s="24" t="s">
        <v>14</v>
      </c>
      <c r="B321" s="108" t="str">
        <f>IF(B6="A3","Y","N")</f>
        <v>N</v>
      </c>
      <c r="C321" s="108">
        <v>22</v>
      </c>
      <c r="D321" s="108"/>
      <c r="E321" s="108">
        <v>33</v>
      </c>
      <c r="F321" s="108"/>
      <c r="G321" s="108">
        <v>33</v>
      </c>
      <c r="H321" s="108"/>
      <c r="I321" s="150"/>
    </row>
    <row r="322" spans="1:9" x14ac:dyDescent="0.2">
      <c r="A322" s="24" t="s">
        <v>127</v>
      </c>
      <c r="B322" s="108" t="str">
        <f>IF(OR(B6="A4",B6="E"),"Y","N")</f>
        <v>N</v>
      </c>
      <c r="C322" s="108">
        <v>29</v>
      </c>
      <c r="D322" s="108"/>
      <c r="E322" s="108">
        <v>40</v>
      </c>
      <c r="F322" s="108"/>
      <c r="G322" s="108">
        <v>40</v>
      </c>
      <c r="H322" s="108"/>
      <c r="I322" s="150"/>
    </row>
    <row r="323" spans="1:9" x14ac:dyDescent="0.2">
      <c r="A323" s="24" t="s">
        <v>16</v>
      </c>
      <c r="B323" s="108" t="str">
        <f>IF(B6="B","Y","N")</f>
        <v>N</v>
      </c>
      <c r="C323" s="108">
        <v>30</v>
      </c>
      <c r="D323" s="108"/>
      <c r="E323" s="108">
        <v>40</v>
      </c>
      <c r="F323" s="108"/>
      <c r="G323" s="108">
        <v>40</v>
      </c>
      <c r="H323" s="108"/>
      <c r="I323" s="150"/>
    </row>
    <row r="324" spans="1:9" x14ac:dyDescent="0.2">
      <c r="A324" s="24" t="s">
        <v>167</v>
      </c>
      <c r="B324" s="108" t="str">
        <f>IF(OR(B6="F1",B6="F2"),"Y","N")</f>
        <v>N</v>
      </c>
      <c r="C324" s="108">
        <v>24</v>
      </c>
      <c r="D324" s="108"/>
      <c r="E324" s="108">
        <v>34</v>
      </c>
      <c r="F324" s="108"/>
      <c r="G324" s="108">
        <v>34</v>
      </c>
      <c r="H324" s="108"/>
      <c r="I324" s="150"/>
    </row>
    <row r="325" spans="1:9" x14ac:dyDescent="0.2">
      <c r="A325" s="24" t="s">
        <v>267</v>
      </c>
      <c r="B325" s="108" t="str">
        <f>IF(B6="I2","Y","N")</f>
        <v>N</v>
      </c>
      <c r="C325" s="108">
        <v>19</v>
      </c>
      <c r="D325" s="111"/>
      <c r="E325" s="108">
        <v>34</v>
      </c>
      <c r="F325" s="111"/>
      <c r="G325" s="108">
        <v>34</v>
      </c>
      <c r="H325" s="111"/>
      <c r="I325" s="150"/>
    </row>
    <row r="326" spans="1:9" x14ac:dyDescent="0.2">
      <c r="A326" s="24" t="s">
        <v>13</v>
      </c>
      <c r="B326" s="108" t="str">
        <f>IF(B6="M","Y","N")</f>
        <v>N</v>
      </c>
      <c r="C326" s="108">
        <v>23</v>
      </c>
      <c r="D326" s="108"/>
      <c r="E326" s="108">
        <v>40</v>
      </c>
      <c r="F326" s="108"/>
      <c r="G326" s="108">
        <v>40</v>
      </c>
      <c r="H326" s="108"/>
      <c r="I326" s="150"/>
    </row>
    <row r="327" spans="1:9" x14ac:dyDescent="0.2">
      <c r="A327" s="24" t="s">
        <v>9</v>
      </c>
      <c r="B327" s="108" t="str">
        <f>IF(OR(B6="R1",B6="R2",B6="R3",B6="R4"),"Y","N")</f>
        <v>Y</v>
      </c>
      <c r="C327" s="108">
        <v>21</v>
      </c>
      <c r="D327" s="108"/>
      <c r="E327" s="108">
        <v>38</v>
      </c>
      <c r="F327" s="108"/>
      <c r="G327" s="108">
        <v>38</v>
      </c>
      <c r="H327" s="108"/>
      <c r="I327" s="150"/>
    </row>
    <row r="328" spans="1:9" x14ac:dyDescent="0.2">
      <c r="A328" s="24" t="s">
        <v>18</v>
      </c>
      <c r="B328" s="108" t="str">
        <f>IF(B6="S1","Y","N")</f>
        <v>N</v>
      </c>
      <c r="C328" s="108">
        <v>19</v>
      </c>
      <c r="D328" s="108"/>
      <c r="E328" s="108">
        <v>29</v>
      </c>
      <c r="F328" s="108"/>
      <c r="G328" s="108">
        <v>29</v>
      </c>
      <c r="H328" s="108"/>
      <c r="I328" s="150"/>
    </row>
    <row r="329" spans="1:9" x14ac:dyDescent="0.2">
      <c r="A329" s="24" t="s">
        <v>12</v>
      </c>
      <c r="B329" s="108" t="str">
        <f>IF(B6="S2","Y","N")</f>
        <v>N</v>
      </c>
      <c r="C329" s="108">
        <v>29</v>
      </c>
      <c r="D329" s="108"/>
      <c r="E329" s="108">
        <v>39</v>
      </c>
      <c r="F329" s="108"/>
      <c r="G329" s="108">
        <v>39</v>
      </c>
      <c r="H329" s="108"/>
      <c r="I329" s="150"/>
    </row>
    <row r="330" spans="1:9" x14ac:dyDescent="0.2">
      <c r="A330" s="149"/>
      <c r="B330" s="42"/>
      <c r="C330" s="122" t="s">
        <v>169</v>
      </c>
      <c r="D330" s="127">
        <f>VLOOKUP("Y",B319:H329,2,FALSE)</f>
        <v>21</v>
      </c>
      <c r="E330" s="122" t="s">
        <v>168</v>
      </c>
      <c r="F330" s="111">
        <f>VLOOKUP("Y",B319:H329,4,FALSE)</f>
        <v>38</v>
      </c>
      <c r="G330" s="126" t="s">
        <v>170</v>
      </c>
      <c r="H330" s="111">
        <f>VLOOKUP("Y",B319:H329,6,FALSE)</f>
        <v>38</v>
      </c>
      <c r="I330" s="150"/>
    </row>
    <row r="331" spans="1:9" x14ac:dyDescent="0.2">
      <c r="A331" s="149"/>
      <c r="B331" s="42"/>
      <c r="C331" s="42"/>
      <c r="D331" s="42"/>
      <c r="E331" s="42"/>
      <c r="F331" s="42"/>
      <c r="G331" s="42"/>
      <c r="H331" s="42"/>
      <c r="I331" s="150"/>
    </row>
    <row r="332" spans="1:9" x14ac:dyDescent="0.2">
      <c r="A332" s="151" t="s">
        <v>171</v>
      </c>
      <c r="B332" s="42"/>
      <c r="C332" s="42"/>
      <c r="D332" s="42"/>
      <c r="E332" s="42"/>
      <c r="F332" s="42"/>
      <c r="G332" s="42"/>
      <c r="H332" s="42"/>
      <c r="I332" s="150"/>
    </row>
    <row r="333" spans="1:9" x14ac:dyDescent="0.2">
      <c r="A333" s="23"/>
      <c r="B333" s="109" t="s">
        <v>172</v>
      </c>
      <c r="C333" s="108"/>
      <c r="D333" s="109" t="s">
        <v>191</v>
      </c>
      <c r="E333" s="108"/>
      <c r="F333" s="24" t="s">
        <v>173</v>
      </c>
      <c r="G333" s="42"/>
      <c r="H333" s="42"/>
      <c r="I333" s="150"/>
    </row>
    <row r="334" spans="1:9" x14ac:dyDescent="0.2">
      <c r="A334" s="24" t="s">
        <v>65</v>
      </c>
      <c r="B334" s="108">
        <f>D314</f>
        <v>-15.82</v>
      </c>
      <c r="C334" s="108"/>
      <c r="D334" s="108">
        <f>D330</f>
        <v>21</v>
      </c>
      <c r="E334" s="108"/>
      <c r="F334" s="108" t="str">
        <f>IF(B334&gt;=D334,"PASS!","FAIL")</f>
        <v>FAIL</v>
      </c>
      <c r="G334" s="42"/>
      <c r="H334" s="42"/>
      <c r="I334" s="150"/>
    </row>
    <row r="335" spans="1:9" x14ac:dyDescent="0.2">
      <c r="A335" s="24" t="s">
        <v>71</v>
      </c>
      <c r="B335" s="108">
        <f>F314</f>
        <v>-5.42</v>
      </c>
      <c r="C335" s="108"/>
      <c r="D335" s="108">
        <f>F330</f>
        <v>38</v>
      </c>
      <c r="E335" s="108"/>
      <c r="F335" s="108" t="str">
        <f>IF(B335="ERROR","FAIL",IF(B335&gt;=D335,"PASS!","FAIL"))</f>
        <v>FAIL</v>
      </c>
      <c r="G335" s="42"/>
      <c r="H335" s="42"/>
      <c r="I335" s="150"/>
    </row>
    <row r="336" spans="1:9" x14ac:dyDescent="0.2">
      <c r="A336" s="24" t="s">
        <v>66</v>
      </c>
      <c r="B336" s="108">
        <f>H314</f>
        <v>-15.42</v>
      </c>
      <c r="C336" s="108"/>
      <c r="D336" s="108">
        <f>H330</f>
        <v>38</v>
      </c>
      <c r="E336" s="108"/>
      <c r="F336" s="108" t="str">
        <f>IF(B336="ERROR", "FAIL",IF(B336&gt;=D336,"PASS!","FAIL"))</f>
        <v>FAIL</v>
      </c>
      <c r="G336" s="42"/>
      <c r="H336" s="42"/>
      <c r="I336" s="150"/>
    </row>
    <row r="337" spans="1:9" x14ac:dyDescent="0.2">
      <c r="A337" s="152"/>
      <c r="B337" s="153"/>
      <c r="C337" s="153"/>
      <c r="D337" s="153"/>
      <c r="E337" s="153"/>
      <c r="F337" s="153"/>
      <c r="G337" s="153"/>
      <c r="H337" s="153"/>
      <c r="I337" s="154"/>
    </row>
  </sheetData>
  <sheetProtection algorithmName="SHA-512" hashValue="8QJGkEMY7lszKdX3ItL9jV3AQDn8+DKuXQvS5ZpfJWZ7lbOQQJ6v2vp0//QfwSz0L56T1r8wHVCwgc1fyBgHbg==" saltValue="GzD57Cic3NNTKHjPi+I/dA==" spinCount="100000" sheet="1" objects="1" scenarios="1"/>
  <mergeCells count="56">
    <mergeCell ref="C33:G33"/>
    <mergeCell ref="A33:A34"/>
    <mergeCell ref="B33:B34"/>
    <mergeCell ref="C48:G48"/>
    <mergeCell ref="A48:A49"/>
    <mergeCell ref="B48:B49"/>
    <mergeCell ref="A170:A171"/>
    <mergeCell ref="C99:H99"/>
    <mergeCell ref="B170:B171"/>
    <mergeCell ref="C170:F170"/>
    <mergeCell ref="C112:F112"/>
    <mergeCell ref="C124:H124"/>
    <mergeCell ref="C139:G139"/>
    <mergeCell ref="A139:A140"/>
    <mergeCell ref="B139:B140"/>
    <mergeCell ref="A124:A125"/>
    <mergeCell ref="B124:B125"/>
    <mergeCell ref="C63:F63"/>
    <mergeCell ref="A63:A64"/>
    <mergeCell ref="B63:B64"/>
    <mergeCell ref="B99:B100"/>
    <mergeCell ref="A112:A113"/>
    <mergeCell ref="B112:B113"/>
    <mergeCell ref="A99:A100"/>
    <mergeCell ref="A270:A271"/>
    <mergeCell ref="C270:E270"/>
    <mergeCell ref="A279:A280"/>
    <mergeCell ref="C279:E279"/>
    <mergeCell ref="C249:E249"/>
    <mergeCell ref="A249:A250"/>
    <mergeCell ref="A261:A262"/>
    <mergeCell ref="C261:E261"/>
    <mergeCell ref="C181:E181"/>
    <mergeCell ref="C232:I232"/>
    <mergeCell ref="B232:B233"/>
    <mergeCell ref="A232:A234"/>
    <mergeCell ref="A206:A207"/>
    <mergeCell ref="B206:B207"/>
    <mergeCell ref="C206:H206"/>
    <mergeCell ref="A219:A220"/>
    <mergeCell ref="B219:B220"/>
    <mergeCell ref="C219:F219"/>
    <mergeCell ref="C192:E192"/>
    <mergeCell ref="A192:A193"/>
    <mergeCell ref="A181:A182"/>
    <mergeCell ref="B181:B182"/>
    <mergeCell ref="R1:U1"/>
    <mergeCell ref="O15:O20"/>
    <mergeCell ref="O1:O6"/>
    <mergeCell ref="M20:M25"/>
    <mergeCell ref="L20:L25"/>
    <mergeCell ref="N1:N6"/>
    <mergeCell ref="M1:M6"/>
    <mergeCell ref="L1:L6"/>
    <mergeCell ref="L10:L15"/>
    <mergeCell ref="N24:N28"/>
  </mergeCells>
  <phoneticPr fontId="11" type="noConversion"/>
  <conditionalFormatting sqref="B234">
    <cfRule type="cellIs" dxfId="20" priority="22" operator="equal">
      <formula>"y"</formula>
    </cfRule>
  </conditionalFormatting>
  <conditionalFormatting sqref="A219:F224">
    <cfRule type="cellIs" dxfId="19" priority="21" operator="equal">
      <formula>"y"</formula>
    </cfRule>
  </conditionalFormatting>
  <conditionalFormatting sqref="A206:H211">
    <cfRule type="cellIs" dxfId="18" priority="20" operator="equal">
      <formula>"y"</formula>
    </cfRule>
  </conditionalFormatting>
  <conditionalFormatting sqref="A232:I241">
    <cfRule type="cellIs" dxfId="17" priority="19" operator="equal">
      <formula>"Y"</formula>
    </cfRule>
  </conditionalFormatting>
  <conditionalFormatting sqref="A248:E252">
    <cfRule type="cellIs" dxfId="16" priority="18" operator="equal">
      <formula>"y"</formula>
    </cfRule>
  </conditionalFormatting>
  <conditionalFormatting sqref="A261:E263">
    <cfRule type="cellIs" dxfId="15" priority="17" operator="equal">
      <formula>"y"</formula>
    </cfRule>
  </conditionalFormatting>
  <conditionalFormatting sqref="A270:E272">
    <cfRule type="cellIs" dxfId="14" priority="16" operator="equal">
      <formula>"y"</formula>
    </cfRule>
  </conditionalFormatting>
  <conditionalFormatting sqref="A279:E281">
    <cfRule type="cellIs" dxfId="13" priority="15" operator="equal">
      <formula>"y"</formula>
    </cfRule>
  </conditionalFormatting>
  <conditionalFormatting sqref="F334:F336">
    <cfRule type="cellIs" dxfId="12" priority="14" operator="equal">
      <formula>"FAIL"</formula>
    </cfRule>
  </conditionalFormatting>
  <conditionalFormatting sqref="A181:E184">
    <cfRule type="cellIs" dxfId="11" priority="13" operator="equal">
      <formula>"y"</formula>
    </cfRule>
  </conditionalFormatting>
  <conditionalFormatting sqref="A170:F173">
    <cfRule type="cellIs" dxfId="10" priority="12" operator="equal">
      <formula>"y"</formula>
    </cfRule>
  </conditionalFormatting>
  <conditionalFormatting sqref="A139:G144">
    <cfRule type="cellIs" dxfId="9" priority="11" operator="equal">
      <formula>"y"</formula>
    </cfRule>
  </conditionalFormatting>
  <conditionalFormatting sqref="A126:H130">
    <cfRule type="cellIs" dxfId="8" priority="10" operator="equal">
      <formula>"y"</formula>
    </cfRule>
  </conditionalFormatting>
  <conditionalFormatting sqref="A114:F116">
    <cfRule type="cellIs" dxfId="7" priority="9" operator="equal">
      <formula>"y"</formula>
    </cfRule>
  </conditionalFormatting>
  <conditionalFormatting sqref="A101:H104">
    <cfRule type="cellIs" dxfId="6" priority="7" operator="equal">
      <formula>"y"</formula>
    </cfRule>
    <cfRule type="cellIs" priority="8" operator="equal">
      <formula>"y"</formula>
    </cfRule>
  </conditionalFormatting>
  <conditionalFormatting sqref="A80:C83">
    <cfRule type="cellIs" dxfId="5" priority="6" operator="equal">
      <formula>"y"</formula>
    </cfRule>
  </conditionalFormatting>
  <conditionalFormatting sqref="A65:F69">
    <cfRule type="cellIs" dxfId="4" priority="5" operator="equal">
      <formula>"y"</formula>
    </cfRule>
  </conditionalFormatting>
  <conditionalFormatting sqref="A50:G55">
    <cfRule type="cellIs" dxfId="3" priority="4" operator="equal">
      <formula>"y"</formula>
    </cfRule>
  </conditionalFormatting>
  <conditionalFormatting sqref="A35:G38">
    <cfRule type="cellIs" dxfId="2" priority="3" operator="equal">
      <formula>"y"</formula>
    </cfRule>
  </conditionalFormatting>
  <conditionalFormatting sqref="A192:E196">
    <cfRule type="cellIs" dxfId="1" priority="2" operator="equal">
      <formula>"y"</formula>
    </cfRule>
  </conditionalFormatting>
  <conditionalFormatting sqref="A1:I337">
    <cfRule type="cellIs" dxfId="0" priority="1" operator="equal">
      <formula>"ERROR"</formula>
    </cfRule>
  </conditionalFormatting>
  <pageMargins left="0.7" right="0.7" top="0.75" bottom="0.75" header="0.3" footer="0.3"/>
  <pageSetup scale="86" orientation="portrait" r:id="rId1"/>
  <headerFooter>
    <oddFooter>&amp;C2018 NCEBC Chapter 14 Detailed Analysis Results&amp;RRev. June 17, 2020</oddFooter>
  </headerFooter>
  <cellWatches>
    <cellWatch r="S2"/>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18</vt:i4>
      </vt:variant>
    </vt:vector>
  </HeadingPairs>
  <TitlesOfParts>
    <vt:vector size="20" baseType="lpstr">
      <vt:lpstr>Input</vt:lpstr>
      <vt:lpstr>Detailed Analysis</vt:lpstr>
      <vt:lpstr>Categories</vt:lpstr>
      <vt:lpstr>Categories1</vt:lpstr>
      <vt:lpstr>Categories2</vt:lpstr>
      <vt:lpstr>Categories3</vt:lpstr>
      <vt:lpstr>Categories4</vt:lpstr>
      <vt:lpstr>ConstructionType</vt:lpstr>
      <vt:lpstr>IncidentalUseNCEBC1401.6.19</vt:lpstr>
      <vt:lpstr>IncidentalUseT509NCBC</vt:lpstr>
      <vt:lpstr>IncProtectionProv</vt:lpstr>
      <vt:lpstr>IncProtectionReqd</vt:lpstr>
      <vt:lpstr>No</vt:lpstr>
      <vt:lpstr>Occupancies</vt:lpstr>
      <vt:lpstr>'Detailed Analysis'!Print_Area</vt:lpstr>
      <vt:lpstr>Sprinkler_System</vt:lpstr>
      <vt:lpstr>SprinklerSystem</vt:lpstr>
      <vt:lpstr>VOProtection</vt:lpstr>
      <vt:lpstr>Yes</vt:lpstr>
      <vt:lpstr>YesNo</vt:lpstr>
    </vt:vector>
  </TitlesOfParts>
  <Company>DOI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 NCEBC Chapter 14 Spreadsheet</dc:title>
  <dc:subject>2018 NCEBC Chapter 14 Spreadsheet</dc:subject>
  <dc:creator>Dan.Austin@ncdoi.gov</dc:creator>
  <cp:keywords>Design Tools</cp:keywords>
  <dc:description>2018 Edition</dc:description>
  <cp:lastModifiedBy>Natalia Santiago</cp:lastModifiedBy>
  <cp:lastPrinted>2020-06-18T17:09:52Z</cp:lastPrinted>
  <dcterms:created xsi:type="dcterms:W3CDTF">2002-09-11T15:15:15Z</dcterms:created>
  <dcterms:modified xsi:type="dcterms:W3CDTF">2020-09-18T13:56:07Z</dcterms:modified>
  <cp:category>2018 NCEBC Chapter 14 Spreadsheet</cp:category>
  <cp:contentStatus>Final</cp:contentStatus>
</cp:coreProperties>
</file>